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5"/>
  <workbookPr codeName="ThisWorkbook"/>
  <mc:AlternateContent xmlns:mc="http://schemas.openxmlformats.org/markup-compatibility/2006">
    <mc:Choice Requires="x15">
      <x15ac:absPath xmlns:x15ac="http://schemas.microsoft.com/office/spreadsheetml/2010/11/ac" url="D:\Paul\documents\AtlanticMaritimes\Calculators_AllProvs_NEW\FINAL_AllProvinces_OLD\Calculator_Nontidal_singlesite\NB\"/>
    </mc:Choice>
  </mc:AlternateContent>
  <xr:revisionPtr revIDLastSave="0" documentId="13_ncr:1_{37B92D4C-7681-4D1F-B868-4069BF0E2DFB}" xr6:coauthVersionLast="47" xr6:coauthVersionMax="47" xr10:uidLastSave="{00000000-0000-0000-0000-000000000000}"/>
  <bookViews>
    <workbookView xWindow="-120" yWindow="-120" windowWidth="29040" windowHeight="15840" tabRatio="903" activeTab="7" xr2:uid="{00000000-000D-0000-FFFF-FFFF00000000}"/>
  </bookViews>
  <sheets>
    <sheet name="CovPg" sheetId="32" r:id="rId1"/>
    <sheet name="OF" sheetId="2" r:id="rId2"/>
    <sheet name="F" sheetId="3" r:id="rId3"/>
    <sheet name="S" sheetId="4" r:id="rId4"/>
    <sheet name="Scores" sheetId="5" r:id="rId5"/>
    <sheet name="WS" sheetId="8" r:id="rId6"/>
    <sheet name="SFS" sheetId="31" r:id="rId7"/>
    <sheet name="WC" sheetId="12" r:id="rId8"/>
    <sheet name="SR" sheetId="9" r:id="rId9"/>
    <sheet name="PR" sheetId="10" r:id="rId10"/>
    <sheet name="NR" sheetId="11" r:id="rId11"/>
    <sheet name="CS" sheetId="13" r:id="rId12"/>
    <sheet name="OE" sheetId="14" r:id="rId13"/>
    <sheet name="FA" sheetId="16" r:id="rId14"/>
    <sheet name="FR" sheetId="17" r:id="rId15"/>
    <sheet name="INV" sheetId="15" r:id="rId16"/>
    <sheet name="AM" sheetId="18" r:id="rId17"/>
    <sheet name="WBF" sheetId="19" r:id="rId18"/>
    <sheet name="WBN" sheetId="20" r:id="rId19"/>
    <sheet name="SBM" sheetId="21" r:id="rId20"/>
    <sheet name="POL" sheetId="22" r:id="rId21"/>
    <sheet name="PH" sheetId="23" r:id="rId22"/>
    <sheet name="PU" sheetId="27" r:id="rId23"/>
    <sheet name="EC" sheetId="26" r:id="rId24"/>
    <sheet name="Sen" sheetId="25" r:id="rId25"/>
    <sheet name="STR" sheetId="24" r:id="rId26"/>
  </sheets>
  <externalReferences>
    <externalReference r:id="rId27"/>
    <externalReference r:id="rId28"/>
    <externalReference r:id="rId29"/>
  </externalReferences>
  <definedNames>
    <definedName name="__IBA12">WBF!$D$158</definedName>
    <definedName name="_Alk3" localSheetId="3">[1]PR!$G$3</definedName>
    <definedName name="_Alk3">PR!#REF!</definedName>
    <definedName name="_AMT1" localSheetId="3">[1]AM!$G$251</definedName>
    <definedName name="_AMT1">AM!#REF!</definedName>
    <definedName name="_AMT2" localSheetId="3">[1]AM!$G$253</definedName>
    <definedName name="_AMT2">AM!#REF!</definedName>
    <definedName name="_AMT3" localSheetId="3">[1]AM!$G$254</definedName>
    <definedName name="_AMT3">AM!#REF!</definedName>
    <definedName name="_AMT4" localSheetId="3">[1]AM!$G$255</definedName>
    <definedName name="_AMT4">AM!#REF!</definedName>
    <definedName name="_AMT5" localSheetId="3">[1]AM!$G$250</definedName>
    <definedName name="_AMT5">AM!#REF!</definedName>
    <definedName name="_AMT6" localSheetId="3">[1]AM!$G$252</definedName>
    <definedName name="_AMT6">AM!#REF!</definedName>
    <definedName name="_AMT7" localSheetId="3">[1]AM!$G$249</definedName>
    <definedName name="_AMT7">AM!#REF!</definedName>
    <definedName name="_AMT8" localSheetId="3">[1]AM!$G$256</definedName>
    <definedName name="_AMT8">AM!#REF!</definedName>
    <definedName name="_BMP11">AM!$G$186</definedName>
    <definedName name="_BMP12">WBF!$G$140</definedName>
    <definedName name="_BMP13">WBN!$G$176</definedName>
    <definedName name="_Bog4" localSheetId="3">[1]NR!$D$3</definedName>
    <definedName name="_Bog4">NR!#REF!</definedName>
    <definedName name="_Bog5" localSheetId="3">[1]CS!$D$3</definedName>
    <definedName name="_Bog5">CS!#REF!</definedName>
    <definedName name="_Bog6">OE!$D$11</definedName>
    <definedName name="_CSQ1" localSheetId="3">[1]CS!$G$137</definedName>
    <definedName name="_CSQ1">CS!#REF!</definedName>
    <definedName name="_CSQ2" localSheetId="3">[1]CS!$G$138</definedName>
    <definedName name="_CSQ2">CS!#REF!</definedName>
    <definedName name="_CSQ3" localSheetId="3">[1]CS!$G$139</definedName>
    <definedName name="_CSQ3">CS!#REF!</definedName>
    <definedName name="_CSQ4" localSheetId="3">[1]CS!$G$140</definedName>
    <definedName name="_CSQ4">CS!#REF!</definedName>
    <definedName name="_Fen5" localSheetId="3">[1]CS!#REF!</definedName>
    <definedName name="_Fen5">CS!#REF!</definedName>
    <definedName name="_Fen7">WC!#REF!</definedName>
    <definedName name="_FHA1" localSheetId="3">[1]FA!$G$126</definedName>
    <definedName name="_FHA1">FA!#REF!</definedName>
    <definedName name="_FHA2" localSheetId="3">[1]FA!$G$127</definedName>
    <definedName name="_FHA2">FA!#REF!</definedName>
    <definedName name="_FHA3" localSheetId="3">[1]FA!#REF!</definedName>
    <definedName name="_FHA3">FA!#REF!</definedName>
    <definedName name="_FHA4" localSheetId="3">[1]FA!$G$128</definedName>
    <definedName name="_FHA4">FA!#REF!</definedName>
    <definedName name="_FHA5" localSheetId="3">[1]FA!$G$129</definedName>
    <definedName name="_FHA5">FA!#REF!</definedName>
    <definedName name="_FHA6" localSheetId="3">[1]FA!$G$130</definedName>
    <definedName name="_FHA6">FA!#REF!</definedName>
    <definedName name="_FHR1" localSheetId="3">[1]FR!$G$114</definedName>
    <definedName name="_FHR1">FR!#REF!</definedName>
    <definedName name="_FHR2" localSheetId="3">[1]FR!$G$115</definedName>
    <definedName name="_FHR2">FR!#REF!</definedName>
    <definedName name="_FHR3" localSheetId="3">[1]FR!$G$116</definedName>
    <definedName name="_FHR3">FR!#REF!</definedName>
    <definedName name="_FHR4" localSheetId="3">[1]FR!$G$117</definedName>
    <definedName name="_FHR4">FR!#REF!</definedName>
    <definedName name="_FHR5" localSheetId="3">[1]FR!$G$118</definedName>
    <definedName name="_FHR5">FR!#REF!</definedName>
    <definedName name="_GDD1">WS!$G$19</definedName>
    <definedName name="_GDD11">AM!$G$53</definedName>
    <definedName name="_GDD2">SR!$G$15</definedName>
    <definedName name="_GDD3">PR!$G$15</definedName>
    <definedName name="_GpA1">WS!#REF!</definedName>
    <definedName name="_IBA13">WBN!$G$188</definedName>
    <definedName name="_IBA14">SBM!$G$177</definedName>
    <definedName name="_INV2">INV!#REF!</definedName>
    <definedName name="_INV3" localSheetId="3">[1]INV!$G$167</definedName>
    <definedName name="_INV3">INV!#REF!</definedName>
    <definedName name="_INV4" localSheetId="3">[1]INV!$G$168</definedName>
    <definedName name="_INV4">INV!#REF!</definedName>
    <definedName name="_INV5" localSheetId="3">[1]INV!$G$169</definedName>
    <definedName name="_INV5">INV!#REF!</definedName>
    <definedName name="_INV6" localSheetId="3">[1]INV!$G$170</definedName>
    <definedName name="_INV6">INV!#REF!</definedName>
    <definedName name="_INV7" localSheetId="3">[1]INV!$G$171</definedName>
    <definedName name="_INV7">INV!#REF!</definedName>
    <definedName name="_INV8" localSheetId="3">[1]INV!$G$172</definedName>
    <definedName name="_INV8">INV!#REF!</definedName>
    <definedName name="_Iso2" localSheetId="3">[1]SR!$G$10</definedName>
    <definedName name="_Iso2">SR!$G$43</definedName>
    <definedName name="_ISO3" localSheetId="3">[1]PR!$G$20</definedName>
    <definedName name="_ISO3">PR!#REF!</definedName>
    <definedName name="_NRE1" localSheetId="3">[1]NR!$G$166</definedName>
    <definedName name="_NRE1">NR!#REF!</definedName>
    <definedName name="_NRE2" localSheetId="3">[1]NR!$G$167</definedName>
    <definedName name="_NRE2">NR!#REF!</definedName>
    <definedName name="_NRE3" localSheetId="3">[1]NR!$G$170</definedName>
    <definedName name="_NRE3">NR!#REF!</definedName>
    <definedName name="_NRE4" localSheetId="3">[1]NR!$G$169</definedName>
    <definedName name="_NRE4">NR!#REF!</definedName>
    <definedName name="_NRE5" localSheetId="3">[1]NR!$G$165</definedName>
    <definedName name="_NRE5">NR!#REF!</definedName>
    <definedName name="_OMX1" localSheetId="3">[1]OE!$G$118</definedName>
    <definedName name="_OMX1">OE!#REF!</definedName>
    <definedName name="_OMX2" localSheetId="3">[1]OE!$G$119</definedName>
    <definedName name="_OMX2">OE!#REF!</definedName>
    <definedName name="_OMX3" localSheetId="3">[1]OE!$G$120</definedName>
    <definedName name="_OMX3">OE!#REF!</definedName>
    <definedName name="_OMX4" localSheetId="3">[1]OE!$G$121</definedName>
    <definedName name="_OMX4">OE!#REF!</definedName>
    <definedName name="_OMX5">OE!#REF!</definedName>
    <definedName name="_Out3">PR!#REF!</definedName>
    <definedName name="_pcp13" localSheetId="3">[1]WBN!$G$204</definedName>
    <definedName name="_pcp13">WBN!#REF!</definedName>
    <definedName name="_pcp14" localSheetId="3">[1]SBM!$G$204</definedName>
    <definedName name="_pcp14">SBM!#REF!</definedName>
    <definedName name="_pcp8" localSheetId="3">[1]INV!$G$148</definedName>
    <definedName name="_pcp8">INV!#REF!</definedName>
    <definedName name="_PLD1" localSheetId="3">[1]PD!$G$203</definedName>
    <definedName name="_PLD1">PH!#REF!</definedName>
    <definedName name="_PLD2" localSheetId="3">[1]PD!$G$204</definedName>
    <definedName name="_PLD2">PH!#REF!</definedName>
    <definedName name="_PLD3" localSheetId="3">[1]PD!$G$205</definedName>
    <definedName name="_PLD3">PH!#REF!</definedName>
    <definedName name="_PR1" localSheetId="3">[1]PR!$G$160</definedName>
    <definedName name="_PR1">PR!#REF!</definedName>
    <definedName name="_PR2" localSheetId="3">[1]PR!$G$161</definedName>
    <definedName name="_PR2">PR!#REF!</definedName>
    <definedName name="_PR3" localSheetId="3">[1]PR!$G$162</definedName>
    <definedName name="_PR3">PR!#REF!</definedName>
    <definedName name="_PR4" localSheetId="3">[1]PR!$G$163</definedName>
    <definedName name="_PR4">PR!#REF!</definedName>
    <definedName name="_PR5" localSheetId="3">[1]PR!$G$164</definedName>
    <definedName name="_PR5">PR!#REF!</definedName>
    <definedName name="_PR6" localSheetId="3">[1]PR!$G$165</definedName>
    <definedName name="_PR6">PR!#REF!</definedName>
    <definedName name="_Pt2">S!#REF!</definedName>
    <definedName name="_Pt3">S!#REF!</definedName>
    <definedName name="_pt4">S!#REF!</definedName>
    <definedName name="_SED1" localSheetId="3">[1]SR!#REF!</definedName>
    <definedName name="_SED1">SR!#REF!</definedName>
    <definedName name="_SM1" localSheetId="3">[1]SBM!$G$216</definedName>
    <definedName name="_SM1">SBM!#REF!</definedName>
    <definedName name="_SM2" localSheetId="3">[1]SBM!$G$217</definedName>
    <definedName name="_SM2">SBM!#REF!</definedName>
    <definedName name="_SM3" localSheetId="3">[1]SBM!$G$218</definedName>
    <definedName name="_SM3">SBM!#REF!</definedName>
    <definedName name="_SM4" localSheetId="3">[1]SBM!$G$219</definedName>
    <definedName name="_SM4">SBM!#REF!</definedName>
    <definedName name="_SM5">SBM!#REF!</definedName>
    <definedName name="_SWO10" localSheetId="3">[1]FR!#REF!</definedName>
    <definedName name="_SWO10">FR!#REF!</definedName>
    <definedName name="_SWO12" localSheetId="3">[1]WBF!#REF!</definedName>
    <definedName name="_SWO12">WBF!#REF!</definedName>
    <definedName name="_SWO13" localSheetId="3">[1]WBN!#REF!</definedName>
    <definedName name="_SWO13">WBN!#REF!</definedName>
    <definedName name="_SWO2" localSheetId="3">[1]SR!#REF!</definedName>
    <definedName name="_SWO2">SR!#REF!</definedName>
    <definedName name="_SWO3" localSheetId="3">[1]PR!#REF!</definedName>
    <definedName name="_SWO3">PR!#REF!</definedName>
    <definedName name="_SWO4" localSheetId="3">[1]NR!#REF!</definedName>
    <definedName name="_SWO4">NR!#REF!</definedName>
    <definedName name="_SWO5" localSheetId="3">[1]CS!#REF!</definedName>
    <definedName name="_SWO5">CS!#REF!</definedName>
    <definedName name="_SWO6" localSheetId="3">[1]OE!#REF!</definedName>
    <definedName name="_SWO6">OE!#REF!</definedName>
    <definedName name="_SWO7" localSheetId="3">[1]T!#REF!</definedName>
    <definedName name="_SWO7">WC!#REF!</definedName>
    <definedName name="_SWO9" localSheetId="3">[1]FA!#REF!</definedName>
    <definedName name="_SWO9">FA!#REF!</definedName>
    <definedName name="_TMO1" localSheetId="3">[1]T!$G$47</definedName>
    <definedName name="_TMO1">WC!#REF!</definedName>
    <definedName name="_TMO2" localSheetId="3">[1]T!$G$46</definedName>
    <definedName name="_TMO2">WC!#REF!</definedName>
    <definedName name="_Tox12">WBF!$G$32</definedName>
    <definedName name="_WBF10">FR!$G$126</definedName>
    <definedName name="_WBF2" localSheetId="3">[1]WBF!$G$186</definedName>
    <definedName name="_WBF2">WBF!#REF!</definedName>
    <definedName name="_WBF3" localSheetId="3">[1]WBF!$G$187</definedName>
    <definedName name="_WBF3">WBF!#REF!</definedName>
    <definedName name="_WBF4" localSheetId="3">[1]WBF!$G$188</definedName>
    <definedName name="_WBF4">WBF!#REF!</definedName>
    <definedName name="_WBF5" localSheetId="3">[1]WBF!$G$189</definedName>
    <definedName name="_WBF5">WBF!#REF!</definedName>
    <definedName name="_WBF6" localSheetId="3">[1]WBF!$G$190</definedName>
    <definedName name="_WBF6">WBF!#REF!</definedName>
    <definedName name="_WBF7" localSheetId="3">[1]WBF!$G$191</definedName>
    <definedName name="_WBF7">WBF!#REF!</definedName>
    <definedName name="_WBF8" localSheetId="3">[1]WBF!$G$192</definedName>
    <definedName name="_WBF8">WBF!#REF!</definedName>
    <definedName name="_WBN1" localSheetId="3">[1]WBN!$G$216</definedName>
    <definedName name="_WBN1">WBN!#REF!</definedName>
    <definedName name="_WBN2" localSheetId="3">[1]WBN!$G$217</definedName>
    <definedName name="_WBN2">WBN!#REF!</definedName>
    <definedName name="_WBN3" localSheetId="3">[1]WBN!$G$218</definedName>
    <definedName name="_WBN3">WBN!#REF!</definedName>
    <definedName name="_WBN4" localSheetId="3">[1]WBN!$G$219</definedName>
    <definedName name="_WBN4">WBN!#REF!</definedName>
    <definedName name="_WBN5" localSheetId="3">[1]WBN!$G$220</definedName>
    <definedName name="_WBN5">WBN!#REF!</definedName>
    <definedName name="_WBN6" localSheetId="3">[1]WBN!$G$221</definedName>
    <definedName name="_WBN6">WBN!#REF!</definedName>
    <definedName name="_WBN7" localSheetId="3">[1]WBN!$G$222</definedName>
    <definedName name="_WBN7">WBN!#REF!</definedName>
    <definedName name="_WBN8" localSheetId="3">[1]WBN!$G$223</definedName>
    <definedName name="_WBN8">WBN!#REF!</definedName>
    <definedName name="_WBN9" localSheetId="3">[1]WBN!#REF!</definedName>
    <definedName name="_WBN9">WBN!#REF!</definedName>
    <definedName name="_WST1" localSheetId="3">[1]WS!$G$111</definedName>
    <definedName name="_WST1">WS!#REF!</definedName>
    <definedName name="_WST2" localSheetId="3">[1]WS!$G$112</definedName>
    <definedName name="_WST2">WS!#REF!</definedName>
    <definedName name="_WST3" localSheetId="3">[1]WS!$G$113</definedName>
    <definedName name="_WST3">WS!#REF!</definedName>
    <definedName name="AbioSens">Sen!$G$188</definedName>
    <definedName name="ABpct10" localSheetId="3">[1]FR!$G$89</definedName>
    <definedName name="ABpct10">FR!$G$52</definedName>
    <definedName name="ABpct11" localSheetId="3">[1]AM!$G$74</definedName>
    <definedName name="ABpct11">AM!$G$135</definedName>
    <definedName name="ABpct12" localSheetId="3">[1]WBF!$G$72</definedName>
    <definedName name="ABpct12">WBF!$G$103</definedName>
    <definedName name="ABpct8" localSheetId="3">[1]INV!$G$82</definedName>
    <definedName name="ABpct8">INV!$G$98</definedName>
    <definedName name="Access10" localSheetId="3">[1]FR!#REF!</definedName>
    <definedName name="Access10">FR!$G$9</definedName>
    <definedName name="Access11" localSheetId="3">[1]AM!$D$4</definedName>
    <definedName name="Access11">AM!#REF!</definedName>
    <definedName name="Access12">WBF!$D$38</definedName>
    <definedName name="Access8" localSheetId="3">[1]INV!$G$115</definedName>
    <definedName name="Access8">INV!#REF!</definedName>
    <definedName name="Access9" localSheetId="3">[1]FA!#REF!</definedName>
    <definedName name="Access9">FA!$G$20</definedName>
    <definedName name="AccessFR10" localSheetId="3">[1]FR!$D$96</definedName>
    <definedName name="AccessFR10">FR!#REF!</definedName>
    <definedName name="Acid12">WBF!$G$115</definedName>
    <definedName name="Acid4">NR!$G$126</definedName>
    <definedName name="Acid9">FA!$G$97</definedName>
    <definedName name="Acidic11">AM!$G$157</definedName>
    <definedName name="Acidic13">WBN!$G$142</definedName>
    <definedName name="Acidic20">PH!$G$134</definedName>
    <definedName name="AcidicPool10">FR!$G$79</definedName>
    <definedName name="AcidicS">Sen!$G$156</definedName>
    <definedName name="AcidPool10">FR!$D$79</definedName>
    <definedName name="AcidPool7">#REF!</definedName>
    <definedName name="Adsorb3">PR!$G$153</definedName>
    <definedName name="AfishAccess9" localSheetId="3">[1]FA!$D$7</definedName>
    <definedName name="AfishAccess9">FA!#REF!</definedName>
    <definedName name="AfishShed" localSheetId="3">#REF!</definedName>
    <definedName name="AfishShed">#REF!</definedName>
    <definedName name="AfishShed9" localSheetId="3">[1]FA!$D$6</definedName>
    <definedName name="AfishShed9">FA!$D$20</definedName>
    <definedName name="AFshed" localSheetId="3">#REF!</definedName>
    <definedName name="AFshed">#REF!</definedName>
    <definedName name="aglandprox">POL!#REF!</definedName>
    <definedName name="Algae12">WBF!$G$114</definedName>
    <definedName name="Algae3">PR!$G$75</definedName>
    <definedName name="AlkPlaya" localSheetId="3">#REF!</definedName>
    <definedName name="AlkPlaya">#REF!</definedName>
    <definedName name="AllDry10" localSheetId="3">[1]FR!#REF!</definedName>
    <definedName name="AllDry10">FR!#REF!</definedName>
    <definedName name="AllDry11" localSheetId="3">[1]AM!$D$5</definedName>
    <definedName name="AllDry11">AM!$D$110</definedName>
    <definedName name="AllDry12" localSheetId="3">[1]WBF!$D$23</definedName>
    <definedName name="AllDry12">WBF!$D$68</definedName>
    <definedName name="AllDry13" localSheetId="3">[1]WBN!#REF!</definedName>
    <definedName name="AllDry13">WBN!#REF!</definedName>
    <definedName name="AllDry2" localSheetId="3">[1]SR!$D$9</definedName>
    <definedName name="AllDry2">SR!#REF!</definedName>
    <definedName name="AllDry5" localSheetId="3">[1]CS!#REF!</definedName>
    <definedName name="AllDry5">CS!#REF!</definedName>
    <definedName name="AllDry5a">CS!#REF!</definedName>
    <definedName name="AllDry6" localSheetId="3">[1]OE!#REF!</definedName>
    <definedName name="AllDry6">OE!#REF!</definedName>
    <definedName name="AllDry6a" localSheetId="3">[1]OE!$D$21</definedName>
    <definedName name="AllDry6a">OE!#REF!</definedName>
    <definedName name="Alldry7" localSheetId="3">[1]T!$D$5</definedName>
    <definedName name="Alldry7">WC!#REF!</definedName>
    <definedName name="AllDry7a">WC!#REF!</definedName>
    <definedName name="AllDry8" localSheetId="3">[1]INV!$D$15</definedName>
    <definedName name="AllDry8">INV!#REF!</definedName>
    <definedName name="AllDry8a">INV!#REF!</definedName>
    <definedName name="AllDry9" localSheetId="3">[1]FA!$D$20</definedName>
    <definedName name="AllDry9">FA!$D$39</definedName>
    <definedName name="AllFlowDry">F!#REF!</definedName>
    <definedName name="AllFlowing">F!#REF!</definedName>
    <definedName name="AllFlowingDry">F!#REF!</definedName>
    <definedName name="AllFlowingWet">F!#REF!</definedName>
    <definedName name="AllForbCov">F!$D$99</definedName>
    <definedName name="AllHerbCov">F!#REF!</definedName>
    <definedName name="AllMoss">F!#REF!</definedName>
    <definedName name="AllNat">F!#REF!</definedName>
    <definedName name="AllOpenPond">F!$D$176</definedName>
    <definedName name="AllSat">F!#REF!</definedName>
    <definedName name="AllSat1">F!$D$127</definedName>
    <definedName name="AllSat2">F!$D$126</definedName>
    <definedName name="AllWater14">SBM!#REF!</definedName>
    <definedName name="AllWet">F!$D$133</definedName>
    <definedName name="AltTime10">FR!$G$102</definedName>
    <definedName name="AltTime11">AM!#REF!</definedName>
    <definedName name="AltTime20">PH!$G$179</definedName>
    <definedName name="AltTime8">INV!$D$137</definedName>
    <definedName name="AltTime8a">INV!$G$137</definedName>
    <definedName name="AltTime9">FA!$G$118</definedName>
    <definedName name="AltTiming" localSheetId="3">[1]STR!$G$4</definedName>
    <definedName name="AltTiming">STR!$G$75</definedName>
    <definedName name="AltTimingIN">STR!$G$75</definedName>
    <definedName name="AltTimingOut" localSheetId="3">[1]STR!$G$5</definedName>
    <definedName name="AltTimingOut">STR!#REF!</definedName>
    <definedName name="Amphib" localSheetId="3">[1]INV!$G$161</definedName>
    <definedName name="Amphib">INV!$G$143</definedName>
    <definedName name="AmphScore">#REF!</definedName>
    <definedName name="AmPres11">AM!#REF!</definedName>
    <definedName name="AmpSiteS">Sen!#REF!</definedName>
    <definedName name="Anad3">PR!#REF!</definedName>
    <definedName name="Anad4">NR!#REF!</definedName>
    <definedName name="AnadFish" localSheetId="3">[1]INV!$G$159</definedName>
    <definedName name="AnadFish">INV!$G$141</definedName>
    <definedName name="AnadFish7">WC!$G$62</definedName>
    <definedName name="AnadHUC7" localSheetId="3">[1]T!$G$37</definedName>
    <definedName name="AnadHUC7">WC!#REF!</definedName>
    <definedName name="AnadPrio7" localSheetId="3">[1]T!#REF!</definedName>
    <definedName name="AnadPrio7">WC!#REF!</definedName>
    <definedName name="AnadPrioShed" localSheetId="3">[1]FA!$G$123</definedName>
    <definedName name="AnadPrioShed">FA!#REF!</definedName>
    <definedName name="AnadScore2_">SFS!$G$39</definedName>
    <definedName name="AnimSens_S" localSheetId="3">[1]Sen!#REF!</definedName>
    <definedName name="AnimSens_S">Sen!#REF!</definedName>
    <definedName name="AnoxRisk10">FR!$G$131</definedName>
    <definedName name="AqCov8">INV!$G$109</definedName>
    <definedName name="AqFertilPD">PH!$G$192</definedName>
    <definedName name="AqPest8" localSheetId="3">[1]INV!$G$76</definedName>
    <definedName name="AqPest8">INV!#REF!</definedName>
    <definedName name="AqPlantCov13">WBN!$G$112</definedName>
    <definedName name="AqPlantCov2">SR!$G$49</definedName>
    <definedName name="AqPlantCov3">PR!$G$57</definedName>
    <definedName name="AqPlantCov4">NR!$G$92</definedName>
    <definedName name="AqPlantCov5">CS!$G$68</definedName>
    <definedName name="AqPlantCov6">OE!$G$59</definedName>
    <definedName name="AqPlantCov9">FA!$G$70</definedName>
    <definedName name="AqStruc11">AM!$G$204</definedName>
    <definedName name="Aquif1" localSheetId="3">[1]WS!#REF!</definedName>
    <definedName name="Aquif1">WS!#REF!</definedName>
    <definedName name="Aquifer" localSheetId="3">[1]WS!#REF!</definedName>
    <definedName name="Aquifer">WS!#REF!</definedName>
    <definedName name="Aquifer4" localSheetId="3">[1]NR!$G$151</definedName>
    <definedName name="Aquifer4">NR!$G$211</definedName>
    <definedName name="AreaTotal12">WBF!$G$3</definedName>
    <definedName name="aspect0">POL!#REF!</definedName>
    <definedName name="Aspect1">WS!$G$8</definedName>
    <definedName name="Aspect11">AM!$G$49</definedName>
    <definedName name="Aspect2_">SFS!$G$3</definedName>
    <definedName name="Aspect4">NR!$G$15</definedName>
    <definedName name="Aspect7">WC!$G$3</definedName>
    <definedName name="Aspect7v">WC!$G$49</definedName>
    <definedName name="Aspect7vw">#REF!</definedName>
    <definedName name="Aspect7w">#REF!</definedName>
    <definedName name="AspectPD">PH!#REF!</definedName>
    <definedName name="BareGpct">EC!$G$9</definedName>
    <definedName name="Bduck13">WBN!$G$42</definedName>
    <definedName name="BearHab9">FA!#REF!</definedName>
    <definedName name="BearPD">PH!#REF!</definedName>
    <definedName name="BearShed">FA!#REF!</definedName>
    <definedName name="BearShed14">SBM!#REF!</definedName>
    <definedName name="BearShed9">FA!#REF!</definedName>
    <definedName name="Beaver_S">Sen!$G$165</definedName>
    <definedName name="Beaver10">FR!$G$88</definedName>
    <definedName name="Beaver12">WBF!$G$119</definedName>
    <definedName name="Beaver13">WBN!$G$146</definedName>
    <definedName name="Beaver14">SBM!$D$139</definedName>
    <definedName name="Beaver14a">SBM!$G$139</definedName>
    <definedName name="Beaver9">FA!$G$101</definedName>
    <definedName name="BeaverPD">PH!$G$143</definedName>
    <definedName name="BestInScape" localSheetId="3">#REF!</definedName>
    <definedName name="BestInScape">#REF!</definedName>
    <definedName name="BestInShed" localSheetId="3">#REF!</definedName>
    <definedName name="BestInShed">#REF!</definedName>
    <definedName name="BigPondProx12" localSheetId="3">[1]WBF!$G$137</definedName>
    <definedName name="BigPondProx12">WBF!$G$18</definedName>
    <definedName name="Biological">EC!$G$30</definedName>
    <definedName name="BioSens">Sen!$G$189</definedName>
    <definedName name="Bioshed14">SBM!#REF!</definedName>
    <definedName name="BioShedX">STR!#REF!</definedName>
    <definedName name="BMPsoils20">PH!$G$177</definedName>
    <definedName name="BMPsoilsPU">PU!$G$53</definedName>
    <definedName name="BMPwild11">[2]AM!$G$204</definedName>
    <definedName name="BMPwild12">[2]WBF!$G$158</definedName>
    <definedName name="BMPwild13">[2]WBN!$G$190</definedName>
    <definedName name="BMPwildPU">PU!$G$54</definedName>
    <definedName name="BoatsPD" localSheetId="3">[1]PD!$G$114</definedName>
    <definedName name="BoatsPD">PH!#REF!</definedName>
    <definedName name="BoatVector" localSheetId="3">[1]STR!$G$19</definedName>
    <definedName name="BoatVector">STR!#REF!</definedName>
    <definedName name="BuffAllNat">F!$D$252</definedName>
    <definedName name="BuffCovTyp4">NR!$G$203</definedName>
    <definedName name="BuffCUnatPct9" localSheetId="3">[1]FA!#REF!</definedName>
    <definedName name="BuffCUnatPct9">FA!#REF!</definedName>
    <definedName name="BuffDisturbTyp" localSheetId="3">[1]STR!$G$46</definedName>
    <definedName name="BuffDisturbTyp">STR!$G$46</definedName>
    <definedName name="BufferWeeds" localSheetId="3">#REF!</definedName>
    <definedName name="BufferWeeds">#REF!</definedName>
    <definedName name="BuffLU10" localSheetId="3">[1]FR!#REF!</definedName>
    <definedName name="BuffLU10">FR!#REF!</definedName>
    <definedName name="BuffLU11" localSheetId="3">[1]AM!$G$158</definedName>
    <definedName name="BuffLU11">AM!$G$171</definedName>
    <definedName name="BuffLU14" localSheetId="3">[1]SBM!#REF!</definedName>
    <definedName name="BuffLU14">SBM!#REF!</definedName>
    <definedName name="BuffLU8" localSheetId="3">[1]INV!#REF!</definedName>
    <definedName name="BuffLU8">INV!#REF!</definedName>
    <definedName name="BuffLU9" localSheetId="3">[1]FA!$G$99</definedName>
    <definedName name="BuffLU9">FA!$G$115</definedName>
    <definedName name="BuffLUpd" localSheetId="3">[1]PD!$G$141</definedName>
    <definedName name="BuffLUpd">PH!$G$157</definedName>
    <definedName name="BuffLUtype0">POL!$G$79</definedName>
    <definedName name="BuffLUtype13" localSheetId="3">[1]WBN!$G$134</definedName>
    <definedName name="BuffLUtype13">WBN!$G$161</definedName>
    <definedName name="BuffNatPct13" localSheetId="3">[1]WBN!$G$128</definedName>
    <definedName name="BuffNatPct13">WBN!$G$155</definedName>
    <definedName name="BuffPctCU10" localSheetId="3">[1]FR!#REF!</definedName>
    <definedName name="BuffPctCU10">FR!#REF!</definedName>
    <definedName name="BuffPctNat9">FA!$G$109</definedName>
    <definedName name="BuffPerim0">POL!$G$73</definedName>
    <definedName name="BuffPerim14">SBM!$G$143</definedName>
    <definedName name="BuffSlope_S" localSheetId="3">[1]Sen!$G$122</definedName>
    <definedName name="BuffSlope_S">Sen!$G$175</definedName>
    <definedName name="BuffSlope2">SR!$G$139</definedName>
    <definedName name="BuffSlope3">PR!$G$142</definedName>
    <definedName name="BuffSlope4">NR!$G$206</definedName>
    <definedName name="BuffVdens" localSheetId="3">[1]STR!#REF!</definedName>
    <definedName name="BuffVdens">STR!#REF!</definedName>
    <definedName name="BuffVeg2" localSheetId="3">[1]SR!#REF!</definedName>
    <definedName name="BuffVeg2">SR!#REF!</definedName>
    <definedName name="BuffVpct3" localSheetId="3">[1]PR!#REF!</definedName>
    <definedName name="BuffVpct3">PR!#REF!</definedName>
    <definedName name="BuffVpct4" localSheetId="3">[1]NR!#REF!</definedName>
    <definedName name="BuffVpct4">NR!#REF!</definedName>
    <definedName name="Burn20">PH!$G$160</definedName>
    <definedName name="Burn5">CS!$G$108</definedName>
    <definedName name="BurnHist">STR!$G$49</definedName>
    <definedName name="CAimperv">STR!$G$22</definedName>
    <definedName name="calcarPD" localSheetId="3">[1]PD!#REF!</definedName>
    <definedName name="calcarPD">PH!#REF!</definedName>
    <definedName name="CalcFen15">PH!$G$178</definedName>
    <definedName name="CalcFen3">PR!$G$101</definedName>
    <definedName name="Calcium3" localSheetId="3">[1]PR!#REF!</definedName>
    <definedName name="Calcium3">PR!#REF!</definedName>
    <definedName name="Calcium5" localSheetId="3">[1]CS!#REF!</definedName>
    <definedName name="Calcium5">CS!#REF!</definedName>
    <definedName name="CAnatPct2" localSheetId="3">[1]SR!$G$154</definedName>
    <definedName name="CAnatPct2">SR!$G$133</definedName>
    <definedName name="CAnatPct4" localSheetId="3">[1]NR!$G$155</definedName>
    <definedName name="CAnatPct4">NR!$G$197</definedName>
    <definedName name="CApct1" localSheetId="3">[1]WS!$G$79</definedName>
    <definedName name="CApct1">WS!$G$3</definedName>
    <definedName name="CApct2" localSheetId="3">[1]SR!$G$85</definedName>
    <definedName name="CApct2">SR!$G$106</definedName>
    <definedName name="CApct2F" localSheetId="3">[1]SR!$G$75</definedName>
    <definedName name="CApct2F">SR!#REF!</definedName>
    <definedName name="CApct3" localSheetId="3">[1]PR!$G$111</definedName>
    <definedName name="CApct3">PR!$G$113</definedName>
    <definedName name="CApct4" localSheetId="3">[1]NR!$G$111</definedName>
    <definedName name="CApct4">NR!$G$172</definedName>
    <definedName name="CApctB3">PR!$G$3</definedName>
    <definedName name="CarbShed">OE!#REF!</definedName>
    <definedName name="CAunveg1" localSheetId="3">[1]WS!$G$84</definedName>
    <definedName name="CAunveg1">WS!$G$80</definedName>
    <definedName name="Cedar14">SBM!#REF!</definedName>
    <definedName name="CedarPD">PH!#REF!</definedName>
    <definedName name="Class" localSheetId="3">#REF!</definedName>
    <definedName name="Class">#REF!</definedName>
    <definedName name="cliff0" localSheetId="3">[1]POL!$G$76</definedName>
    <definedName name="cliff0">POL!$G$82</definedName>
    <definedName name="Cliff14">SBM!$D$152</definedName>
    <definedName name="Cliffs14" localSheetId="3">[1]SBM!$G$78</definedName>
    <definedName name="Cliffs14">SBM!$G$152</definedName>
    <definedName name="Climate11">AM!#REF!</definedName>
    <definedName name="Climate12">WBF!#REF!</definedName>
    <definedName name="ClimateLF">SFS!$G$43</definedName>
    <definedName name="ClimatePD">PH!#REF!</definedName>
    <definedName name="ClimateS">Sen!#REF!</definedName>
    <definedName name="COA">PU!#REF!</definedName>
    <definedName name="Colonizer">Sen!$G$191</definedName>
    <definedName name="CompetPD">PH!$G$194</definedName>
    <definedName name="Conduc10">FR!$G$83</definedName>
    <definedName name="Conduc20">PH!$G$138</definedName>
    <definedName name="Conduc3">PR!$G$127</definedName>
    <definedName name="Conduc4">NR!$G$192</definedName>
    <definedName name="Conduc8">INV!$G$119</definedName>
    <definedName name="ConductivS">Sen!$G$160</definedName>
    <definedName name="Connec3">PR!$G$152</definedName>
    <definedName name="Connec4">NR!$G$219</definedName>
    <definedName name="Connec8">INV!$G$150</definedName>
    <definedName name="Connectiv2">SR!#REF!</definedName>
    <definedName name="ConnectivLF">SFS!$G$42</definedName>
    <definedName name="ConsDesig">PU!$D$23</definedName>
    <definedName name="ConsDesig1">PU!$G$23</definedName>
    <definedName name="ConsInvest" localSheetId="3">[1]PU!$G$22</definedName>
    <definedName name="ConsInvest">PU!$G$24</definedName>
    <definedName name="Constric_C" localSheetId="3">[1]CQ!#REF!</definedName>
    <definedName name="Constric_C">EC!#REF!</definedName>
    <definedName name="Constric_S" localSheetId="3">[1]Sen!$G$34</definedName>
    <definedName name="Constric_S">Sen!$G$152</definedName>
    <definedName name="Constric1" localSheetId="3">[1]WS!$G$53</definedName>
    <definedName name="Constric1">WS!$G$54</definedName>
    <definedName name="Constric10" localSheetId="3">[1]FR!$G$64</definedName>
    <definedName name="Constric10">FR!#REF!</definedName>
    <definedName name="Constric2" localSheetId="3">[1]SR!$G$41</definedName>
    <definedName name="Constric2">SR!$G$79</definedName>
    <definedName name="Constric3" localSheetId="3">[1]PR!$G$58</definedName>
    <definedName name="Constric3">PR!$G$82</definedName>
    <definedName name="Constric4" localSheetId="3">[1]NR!$G$54</definedName>
    <definedName name="Constric4">NR!$G$116</definedName>
    <definedName name="Constric5" localSheetId="3">[1]CS!$G$63</definedName>
    <definedName name="Constric5">CS!$G$88</definedName>
    <definedName name="Constric6" localSheetId="3">[1]OE!$G$60</definedName>
    <definedName name="Constric6">OE!$G$83</definedName>
    <definedName name="Constricted">STR!$G$36</definedName>
    <definedName name="ConsumpU">#REF!</definedName>
    <definedName name="ContribUp" localSheetId="3">#REF!</definedName>
    <definedName name="ContribUp">#REF!</definedName>
    <definedName name="Conven">PU!$G$56</definedName>
    <definedName name="Core1" localSheetId="3">[1]STR!$G$25</definedName>
    <definedName name="Core1">STR!$G$63</definedName>
    <definedName name="Core1_11" localSheetId="3">[1]AM!$G$125</definedName>
    <definedName name="Core1_11">AM!$G$174</definedName>
    <definedName name="Core1_13" localSheetId="3">[1]WBN!$G$118</definedName>
    <definedName name="Core1_13">WBN!$G$164</definedName>
    <definedName name="Core10">FR!$G$118</definedName>
    <definedName name="Core12a" localSheetId="3">[1]WBF!$G$102</definedName>
    <definedName name="Core12a">WBF!$G$128</definedName>
    <definedName name="Core12b" localSheetId="3">[1]WBF!$G$107</definedName>
    <definedName name="Core12b">WBF!$G$135</definedName>
    <definedName name="Core13a">WBN!$G$164</definedName>
    <definedName name="Core14a" localSheetId="3">[1]SBM!$G$84</definedName>
    <definedName name="Core14a">SBM!$G$153</definedName>
    <definedName name="Core14b" localSheetId="3">[1]SBM!$G$89</definedName>
    <definedName name="Core14b">SBM!$G$160</definedName>
    <definedName name="Core1pd" localSheetId="3">[1]PD!$G$120</definedName>
    <definedName name="Core1pd">PH!$G$165</definedName>
    <definedName name="Core1PU">PU!$G$41</definedName>
    <definedName name="Core2" localSheetId="3">[1]STR!$G$30</definedName>
    <definedName name="Core2">STR!$G$70</definedName>
    <definedName name="Core2_11" localSheetId="3">[1]AM!$G$130</definedName>
    <definedName name="Core2_11">AM!$G$181</definedName>
    <definedName name="Core2_13" localSheetId="3">[1]WBN!$G$123</definedName>
    <definedName name="Core2_13">WBN!$G$171</definedName>
    <definedName name="Core2pd" localSheetId="3">[1]PD!$G$125</definedName>
    <definedName name="Core2pd">PH!$G$172</definedName>
    <definedName name="Core2PU">PU!$G$48</definedName>
    <definedName name="Core9">FA!$G$135</definedName>
    <definedName name="County" localSheetId="3">#REF!</definedName>
    <definedName name="County">#REF!</definedName>
    <definedName name="CountyNPrank" localSheetId="3">#REF!</definedName>
    <definedName name="CountyNPrank">#REF!</definedName>
    <definedName name="Cover2miDiv">POL!#REF!</definedName>
    <definedName name="CoverAppro_C" localSheetId="3">[1]CQ!#REF!</definedName>
    <definedName name="CoverAppro_C">EC!#REF!</definedName>
    <definedName name="CoverAppro2" localSheetId="3">#REF!</definedName>
    <definedName name="CoverAppro2">#REF!</definedName>
    <definedName name="CovPctScape0">POL!$G$11</definedName>
    <definedName name="Cowardin" localSheetId="3">#REF!</definedName>
    <definedName name="Cowardin">#REF!</definedName>
    <definedName name="crops0" localSheetId="3">[1]POL!$G$105</definedName>
    <definedName name="crops0">POL!#REF!</definedName>
    <definedName name="Crowds" localSheetId="3">#REF!</definedName>
    <definedName name="Crowds">#REF!</definedName>
    <definedName name="Crowds2" localSheetId="3">#REF!</definedName>
    <definedName name="Crowds2">#REF!</definedName>
    <definedName name="Cshed6">OE!#REF!</definedName>
    <definedName name="Cshed9">CS!#REF!</definedName>
    <definedName name="CSshed">CS!#REF!</definedName>
    <definedName name="CtyRankNP" localSheetId="3">#REF!</definedName>
    <definedName name="CtyRankNP">#REF!</definedName>
    <definedName name="CUbuffLUtype8" localSheetId="3">[1]INV!$G$128</definedName>
    <definedName name="CUbuffLUtype8">INV!$G$134</definedName>
    <definedName name="CUbuffNatPct14" localSheetId="3">[1]SBM!$G$94</definedName>
    <definedName name="CUbuffNatPct14">SBM!#REF!</definedName>
    <definedName name="CUbuffPctNat_S" localSheetId="3">[1]Sen!#REF!</definedName>
    <definedName name="CUbuffPctNat_S">Sen!#REF!</definedName>
    <definedName name="CUbuffPctNat8">INV!$G$134</definedName>
    <definedName name="CUratio_S" localSheetId="3">[1]Sen!$G$174</definedName>
    <definedName name="CUratio_S">Sen!$G$55</definedName>
    <definedName name="CUratioSS">SR!$G$106</definedName>
    <definedName name="CUtypeLU14" localSheetId="3">[1]SBM!$G$100</definedName>
    <definedName name="CUtypeLU14">SBM!$G$149</definedName>
    <definedName name="DeadZone" localSheetId="3">#REF!</definedName>
    <definedName name="DeadZone">#REF!</definedName>
    <definedName name="Decid6">OE!#REF!</definedName>
    <definedName name="DecidCov15">PH!$G$56</definedName>
    <definedName name="DecidPct5">CS!#REF!</definedName>
    <definedName name="DecidTree14">SBM!#REF!</definedName>
    <definedName name="DecidTree5">CS!$G$11</definedName>
    <definedName name="DecidTree6">OE!#REF!</definedName>
    <definedName name="DecidTree8">INV!$G$28</definedName>
    <definedName name="DeepPersis">F!$D$199</definedName>
    <definedName name="DeepSpot10">FR!#REF!</definedName>
    <definedName name="DeepSpot11" localSheetId="3">[1]AM!$G$43</definedName>
    <definedName name="DeepSpot11">AM!#REF!</definedName>
    <definedName name="DeepSpot12" localSheetId="3">[1]WBF!#REF!</definedName>
    <definedName name="DeepSpot12">WBF!#REF!</definedName>
    <definedName name="DeepSpot13">WBN!#REF!</definedName>
    <definedName name="DeepSpot2">SR!#REF!</definedName>
    <definedName name="DeepSpot3">PR!#REF!</definedName>
    <definedName name="DeerHab14">SBM!$G$63</definedName>
    <definedName name="DeerShed14">SBM!$D$63</definedName>
    <definedName name="DeerShedPS">#REF!</definedName>
    <definedName name="DeerShedPS2">#REF!</definedName>
    <definedName name="Depth_S" localSheetId="3">[1]Sen!$G$18</definedName>
    <definedName name="Depth_S">Sen!$G$127</definedName>
    <definedName name="Depth10" localSheetId="3">[1]FR!$G$48</definedName>
    <definedName name="Depth10">FR!$G$42</definedName>
    <definedName name="Depth12" localSheetId="3">[1]WBF!$G$44</definedName>
    <definedName name="Depth12">WBF!$G$87</definedName>
    <definedName name="Depth13" localSheetId="3">[1]WBN!$G$36</definedName>
    <definedName name="Depth13">WBN!$G$96</definedName>
    <definedName name="Depth15" localSheetId="3">[1]PD!$G$37</definedName>
    <definedName name="Depth15">PH!$G$116</definedName>
    <definedName name="Depth2_">SFS!$G$20</definedName>
    <definedName name="Depth5" localSheetId="3">[1]CS!$G$47</definedName>
    <definedName name="Depth5">CS!$G$56</definedName>
    <definedName name="Depth6" localSheetId="3">[1]OE!$G$48</definedName>
    <definedName name="Depth6">OE!$G$47</definedName>
    <definedName name="Depth7" localSheetId="3">[1]T!$G$13</definedName>
    <definedName name="Depth7">WC!$G$20</definedName>
    <definedName name="Depth7w">#REF!</definedName>
    <definedName name="Depth8" localSheetId="3">[1]INV!$G$53</definedName>
    <definedName name="Depth8">INV!$G$82</definedName>
    <definedName name="Depth9" localSheetId="3">[1]FA!$G$38</definedName>
    <definedName name="Depth9">FA!$G$64</definedName>
    <definedName name="DepthC2" localSheetId="3">[1]SR!$G$30</definedName>
    <definedName name="DepthC2">SR!$G$37</definedName>
    <definedName name="DepthDiv8">INV!$G$88</definedName>
    <definedName name="DepthDom5">CS!$G$56</definedName>
    <definedName name="DepthEven10" localSheetId="3">[1]FR!$G$54</definedName>
    <definedName name="DepthEven10">FR!$G$48</definedName>
    <definedName name="DepthEven11" localSheetId="3">[1]AM!#REF!</definedName>
    <definedName name="DepthEven11">AM!#REF!</definedName>
    <definedName name="DepthEven12" localSheetId="3">[1]WBF!$G$50</definedName>
    <definedName name="DepthEven12">WBF!$G$93</definedName>
    <definedName name="DepthEven13" localSheetId="3">[1]WBN!$G$42</definedName>
    <definedName name="DepthEven13">WBN!$G$102</definedName>
    <definedName name="DepthEven8" localSheetId="3">[1]INV!$G$59</definedName>
    <definedName name="DepthEven8">INV!#REF!</definedName>
    <definedName name="Designated" localSheetId="3">#REF!</definedName>
    <definedName name="Designated">#REF!</definedName>
    <definedName name="Desorb3">PR!$G$154</definedName>
    <definedName name="Deveg_C">EC!#REF!</definedName>
    <definedName name="Deveg11" localSheetId="3">[1]AM!$G$113</definedName>
    <definedName name="Deveg11">AM!#REF!</definedName>
    <definedName name="Deveg13" localSheetId="3">[1]WBN!$G$113</definedName>
    <definedName name="Deveg13">WBN!#REF!</definedName>
    <definedName name="Deveg14" localSheetId="3">[1]SBM!$G$79</definedName>
    <definedName name="Deveg14">SBM!#REF!</definedName>
    <definedName name="Deveg2" localSheetId="3">[1]SR!$G$70</definedName>
    <definedName name="Deveg2">SR!#REF!</definedName>
    <definedName name="Deveg5" localSheetId="3">[1]CS!$G$126</definedName>
    <definedName name="Deveg5">CS!#REF!</definedName>
    <definedName name="Deveg6" localSheetId="3">[1]OE!$G$110</definedName>
    <definedName name="Deveg6">OE!#REF!</definedName>
    <definedName name="Deveg8" localSheetId="3">[1]INV!$G$116</definedName>
    <definedName name="Deveg8">INV!#REF!</definedName>
    <definedName name="devegPD" localSheetId="3">[1]PD!$G$109</definedName>
    <definedName name="devegPD">PH!#REF!</definedName>
    <definedName name="DisRd14" localSheetId="3">[1]SBM!$G$109</definedName>
    <definedName name="DisRd14">SBM!$G$41</definedName>
    <definedName name="Dist2RareCov0">POL!#REF!</definedName>
    <definedName name="DistAnad">OE!#REF!</definedName>
    <definedName name="DistBig15">PH!$G$18</definedName>
    <definedName name="DistExceedSS" localSheetId="3">[1]SR!#REF!</definedName>
    <definedName name="DistExceedSS">SR!#REF!</definedName>
    <definedName name="DistNat0">POL!$G$3</definedName>
    <definedName name="DistPond10">AM!$G$191</definedName>
    <definedName name="DistPond12">WBF!$G$149</definedName>
    <definedName name="DistPond13">WBN!$G$179</definedName>
    <definedName name="DistPond14">SBM!$G$168</definedName>
    <definedName name="DistRareTyp11">AM!#REF!</definedName>
    <definedName name="DistRareTyp14">SBM!#REF!</definedName>
    <definedName name="DistRareTyp8">INV!#REF!</definedName>
    <definedName name="DistRareTypPD">PH!#REF!</definedName>
    <definedName name="DistRareTypS">Sen!#REF!</definedName>
    <definedName name="DistRd" localSheetId="3">[1]STR!$G$54</definedName>
    <definedName name="DistRd">STR!$G$9</definedName>
    <definedName name="DistRd10">FR!$G$111</definedName>
    <definedName name="DistRd9">FA!$G$128</definedName>
    <definedName name="DistRdPD" localSheetId="3">[1]PD!$G$163</definedName>
    <definedName name="DistRdPD">PH!$G$38</definedName>
    <definedName name="DistRdPU">PU!$G$9</definedName>
    <definedName name="DistToRareCov0">POL!#REF!</definedName>
    <definedName name="Disturb" localSheetId="3">#REF!</definedName>
    <definedName name="Disturb">#REF!</definedName>
    <definedName name="DisturbStress">STR!$G$84</definedName>
    <definedName name="Ditching1">WS!#REF!</definedName>
    <definedName name="DomDepth3" localSheetId="3">[1]PR!$G$47</definedName>
    <definedName name="DomDepth3">PR!$G$51</definedName>
    <definedName name="DownDistExceedSS" localSheetId="3">[1]SR!$G$112</definedName>
    <definedName name="DownDistExceedSS">SR!#REF!</definedName>
    <definedName name="DownEroding" localSheetId="3">#REF!</definedName>
    <definedName name="DownEroding">#REF!</definedName>
    <definedName name="DownExceed" localSheetId="3">#REF!</definedName>
    <definedName name="DownExceed">#REF!</definedName>
    <definedName name="DownExceed2">SR!#REF!</definedName>
    <definedName name="DownExceedDist" localSheetId="3">#REF!</definedName>
    <definedName name="DownExceedDist">#REF!</definedName>
    <definedName name="DownExceedSS">SR!#REF!</definedName>
    <definedName name="DownNitrate" localSheetId="3">#REF!</definedName>
    <definedName name="DownNitrate">#REF!</definedName>
    <definedName name="DownPhos" localSheetId="3">#REF!</definedName>
    <definedName name="DownPhos">#REF!</definedName>
    <definedName name="DownStorage" localSheetId="3">#REF!</definedName>
    <definedName name="DownStorage">#REF!</definedName>
    <definedName name="DownStore1" localSheetId="3">[1]WS!$G$102</definedName>
    <definedName name="DownStore1">WS!#REF!</definedName>
    <definedName name="DownThermo" localSheetId="3">#REF!</definedName>
    <definedName name="DownThermo">#REF!</definedName>
    <definedName name="DownTurb" localSheetId="3">#REF!</definedName>
    <definedName name="DownTurb">#REF!</definedName>
    <definedName name="downwood0" localSheetId="3">[1]POL!$G$69</definedName>
    <definedName name="downwood0">POL!$G$40</definedName>
    <definedName name="DownWQdis2">SR!#REF!</definedName>
    <definedName name="Drawdown3" localSheetId="3">[1]PR!$G$14</definedName>
    <definedName name="Drawdown3">PR!#REF!</definedName>
    <definedName name="Drier" localSheetId="3">[1]STR!$G$3</definedName>
    <definedName name="Drier">STR!#REF!</definedName>
    <definedName name="drier1">WS!#REF!</definedName>
    <definedName name="drier1a">WS!#REF!</definedName>
    <definedName name="Drier3" localSheetId="3">[1]PR!$G$105</definedName>
    <definedName name="Drier3">PR!#REF!</definedName>
    <definedName name="Drier4" localSheetId="3">[1]NR!$G$103</definedName>
    <definedName name="Drier4">NR!#REF!</definedName>
    <definedName name="Drier5" localSheetId="3">[1]CS!$G$135</definedName>
    <definedName name="Drier5">CS!#REF!</definedName>
    <definedName name="DrierEx">STR!#REF!</definedName>
    <definedName name="Drink4" localSheetId="3">[1]NR!$G$136</definedName>
    <definedName name="Drink4">NR!#REF!</definedName>
    <definedName name="DryIntercept">SR!$G$148</definedName>
    <definedName name="DuckFood12" localSheetId="3">[1]WBF!$G$84</definedName>
    <definedName name="DuckFood12">WBF!#REF!</definedName>
    <definedName name="DuckFood13" localSheetId="3">[1]WBN!$G$93</definedName>
    <definedName name="DuckFood13">WBN!#REF!</definedName>
    <definedName name="DuckHunt">WBF!$G$163</definedName>
    <definedName name="DWsource3">PR!#REF!</definedName>
    <definedName name="Elev">SR!#REF!</definedName>
    <definedName name="Elev_S">Sen!$G$54</definedName>
    <definedName name="Elev1">WS!#REF!</definedName>
    <definedName name="Elev10">FR!#REF!</definedName>
    <definedName name="Elev11">AM!#REF!</definedName>
    <definedName name="Elev12">WBF!#REF!</definedName>
    <definedName name="Elev13">WBN!#REF!</definedName>
    <definedName name="Elev14">SBM!#REF!</definedName>
    <definedName name="Elev2">SR!#REF!</definedName>
    <definedName name="Elev2_">SFS!#REF!</definedName>
    <definedName name="Elev2a">SR!#REF!</definedName>
    <definedName name="Elev3">PR!#REF!</definedName>
    <definedName name="Elev4">NR!$G$9</definedName>
    <definedName name="Elev4v">NR!#REF!</definedName>
    <definedName name="Elev5">CS!#REF!</definedName>
    <definedName name="Elev6">OE!#REF!</definedName>
    <definedName name="Elev7">WC!#REF!</definedName>
    <definedName name="Elev7w">#REF!</definedName>
    <definedName name="Elev9">FA!$G$10</definedName>
    <definedName name="Elevatn2">SFS!#REF!</definedName>
    <definedName name="ElevPD">PH!#REF!</definedName>
    <definedName name="ElevPU">PU!#REF!</definedName>
    <definedName name="ElevS">#REF!</definedName>
    <definedName name="EmPct12" localSheetId="3">[1]WBF!$G$78</definedName>
    <definedName name="EmPct12">WBF!$G$60</definedName>
    <definedName name="EmPct13" localSheetId="3">[1]WBN!$G$74</definedName>
    <definedName name="EmPct13">WBN!$G$63</definedName>
    <definedName name="EmPct8" localSheetId="3">[1]INV!$G$88</definedName>
    <definedName name="EmPct8">INV!#REF!</definedName>
    <definedName name="EmRobust13">WBN!$G$132</definedName>
    <definedName name="EmSens1_C" localSheetId="3">[1]CQ!$G$37</definedName>
    <definedName name="EmSens1_C">EC!$G$22</definedName>
    <definedName name="EmSens1_S" localSheetId="3">[1]Sen!$G$62</definedName>
    <definedName name="EmSens1_S">Sen!$G$114</definedName>
    <definedName name="EmSens2_C" localSheetId="3">[1]CQ!$G$46</definedName>
    <definedName name="EmSens2_C">EC!#REF!</definedName>
    <definedName name="EmSens2_S" localSheetId="3">[1]Sen!#REF!</definedName>
    <definedName name="EmSens2_S">Sen!#REF!</definedName>
    <definedName name="Enrich">STR!$G$77</definedName>
    <definedName name="Entrain">SR!$G$147</definedName>
    <definedName name="Erodib_S" localSheetId="3">[1]Sen!$G$157</definedName>
    <definedName name="Erodib_S">Sen!#REF!</definedName>
    <definedName name="Erodible2">SR!$G$144</definedName>
    <definedName name="ErodibleSS" localSheetId="3">[1]SR!$G$116</definedName>
    <definedName name="ErodibleSS">SR!$G$144</definedName>
    <definedName name="Eroding_C" localSheetId="3">[1]CQ!#REF!</definedName>
    <definedName name="Eroding_C">EC!#REF!</definedName>
    <definedName name="Eroding2" localSheetId="3">#REF!</definedName>
    <definedName name="Eroding2">#REF!</definedName>
    <definedName name="ErodScore3" localSheetId="3">[1]PR!$G$128</definedName>
    <definedName name="ErodScore3">PR!#REF!</definedName>
    <definedName name="EstuPos1">WS!#REF!</definedName>
    <definedName name="EstuPos1low" localSheetId="3">[1]WS!$D$5</definedName>
    <definedName name="EstuPos1low">WS!#REF!</definedName>
    <definedName name="EstuPos1mid" localSheetId="3">[1]WS!$D$6</definedName>
    <definedName name="EstuPos1mid">WS!#REF!</definedName>
    <definedName name="EstuPos1up">WS!#REF!</definedName>
    <definedName name="EstuPos3" localSheetId="3">[1]PR!$G$10</definedName>
    <definedName name="EstuPos3">PR!#REF!</definedName>
    <definedName name="EstuPos5">CS!#REF!</definedName>
    <definedName name="EstuPos9" localSheetId="3">[1]FA!#REF!</definedName>
    <definedName name="EstuPos9">FA!#REF!</definedName>
    <definedName name="EstuPosLo9" localSheetId="3">[1]FA!#REF!</definedName>
    <definedName name="EstuPosLo9">FA!#REF!</definedName>
    <definedName name="EstuPosMid9" localSheetId="3">[1]FA!#REF!</definedName>
    <definedName name="EstuPosMid9">FA!#REF!</definedName>
    <definedName name="EstuPosPD" localSheetId="3">[1]PD!$G$21</definedName>
    <definedName name="EstuPosPD">PH!#REF!</definedName>
    <definedName name="EstuPosUp9" localSheetId="3">[1]FA!#REF!</definedName>
    <definedName name="EstuPosUp9">FA!#REF!</definedName>
    <definedName name="exoticmivs8" localSheetId="3">[1]INV!$G$75</definedName>
    <definedName name="exoticmivs8">INV!#REF!</definedName>
    <definedName name="Exotics" localSheetId="3">[1]CQ!$G$13</definedName>
    <definedName name="Exotics">EC!#REF!</definedName>
    <definedName name="ExportPot6">OE!$G$115</definedName>
    <definedName name="Fdamage">WS!$G$78</definedName>
    <definedName name="Fen_">F!$D$7</definedName>
    <definedName name="Fen2_">SFS!$D$10</definedName>
    <definedName name="Fen7a">WC!#REF!</definedName>
    <definedName name="Fen7w">#REF!</definedName>
    <definedName name="Fertility">Sen!$G$190</definedName>
    <definedName name="FHA4a" localSheetId="3">[1]FA!#REF!</definedName>
    <definedName name="FHA4a">FA!#REF!</definedName>
    <definedName name="Fire4" localSheetId="3">[1]NR!$G$69</definedName>
    <definedName name="Fire4">NR!#REF!</definedName>
    <definedName name="firehay0" localSheetId="3">[1]POL!$G$55</definedName>
    <definedName name="firehay0">POL!#REF!</definedName>
    <definedName name="FireHay12" localSheetId="3">[1]WBF!$G$90</definedName>
    <definedName name="FireHay12">WBF!#REF!</definedName>
    <definedName name="FireHay13" localSheetId="3">[1]WBN!$G$99</definedName>
    <definedName name="FireHay13">WBN!#REF!</definedName>
    <definedName name="FireHay3" localSheetId="3">[1]PR!$G$75</definedName>
    <definedName name="FireHay3">PR!#REF!</definedName>
    <definedName name="FireHay5" localSheetId="3">[1]CS!$G$101</definedName>
    <definedName name="FireHay5">CS!#REF!</definedName>
    <definedName name="FireHay6" localSheetId="3">[1]OE!$G$85</definedName>
    <definedName name="FireHay6">OE!#REF!</definedName>
    <definedName name="FireHayPD" localSheetId="3">[1]PD!$G$86</definedName>
    <definedName name="FireHayPD">PH!#REF!</definedName>
    <definedName name="Fish10">FR!#REF!</definedName>
    <definedName name="Fish11">AM!#REF!</definedName>
    <definedName name="Fish12a">WBF!$G$38</definedName>
    <definedName name="Fish13">WBN!#REF!</definedName>
    <definedName name="fISH13A">WBN!$G$37</definedName>
    <definedName name="Fish8">INV!#REF!</definedName>
    <definedName name="FishAcc11">AM!$G$54</definedName>
    <definedName name="FishAcc12" localSheetId="3">[1]WBF!$G$101</definedName>
    <definedName name="FishAcc12">WBF!#REF!</definedName>
    <definedName name="FishAccessS">#REF!</definedName>
    <definedName name="Fishing" localSheetId="3">[1]FR!$D$111</definedName>
    <definedName name="Fishing">FR!$D$125</definedName>
    <definedName name="Fishing10">FR!$G$125</definedName>
    <definedName name="Fishing9">FA!$D$142</definedName>
    <definedName name="FloDist1">WS!$G$12</definedName>
    <definedName name="FloDist4">NR!$G$19</definedName>
    <definedName name="FloDist6">OE!$G$3</definedName>
    <definedName name="Floodable" localSheetId="3">#REF!</definedName>
    <definedName name="Floodable">#REF!</definedName>
    <definedName name="FloodBdg1" localSheetId="3">[1]WS!$G$96</definedName>
    <definedName name="FloodBdg1">WS!$G$74</definedName>
    <definedName name="Flow8">INV!#REF!</definedName>
    <definedName name="FlowDist2">SR!$G$8</definedName>
    <definedName name="FlowDist3">PR!$G$8</definedName>
    <definedName name="FlowIn2">SR!#REF!</definedName>
    <definedName name="FlowThruFringe">F!#REF!</definedName>
    <definedName name="Fluc2">SR!$G$31</definedName>
    <definedName name="FlucMax1" localSheetId="3">[1]WS!#REF!</definedName>
    <definedName name="FlucMax1">WS!#REF!</definedName>
    <definedName name="FlucMax11" localSheetId="3">[1]AM!#REF!</definedName>
    <definedName name="FlucMax11">AM!#REF!</definedName>
    <definedName name="FlucMax13" localSheetId="3">[1]WBN!#REF!</definedName>
    <definedName name="FlucMax13">WBN!#REF!</definedName>
    <definedName name="FlucMax2" localSheetId="3">[1]SR!#REF!</definedName>
    <definedName name="FlucMax2">SR!#REF!</definedName>
    <definedName name="FlucMax3" localSheetId="3">[1]PR!#REF!</definedName>
    <definedName name="FlucMax3">PR!#REF!</definedName>
    <definedName name="FlucMax4" localSheetId="3">[1]NR!#REF!</definedName>
    <definedName name="FlucMax4">NR!#REF!</definedName>
    <definedName name="FlucMax5" localSheetId="3">[1]CS!#REF!</definedName>
    <definedName name="FlucMax5">CS!#REF!</definedName>
    <definedName name="FlucMax6" localSheetId="3">[1]OE!#REF!</definedName>
    <definedName name="FlucMax6">OE!#REF!</definedName>
    <definedName name="FlucMost2" localSheetId="3">[1]SR!#REF!</definedName>
    <definedName name="FlucMost2">SR!#REF!</definedName>
    <definedName name="FlucPD">PH!$G$110</definedName>
    <definedName name="Fluctu11" localSheetId="3">[1]AM!$G$37</definedName>
    <definedName name="Fluctu11">AM!$G$123</definedName>
    <definedName name="Fluctu13" localSheetId="3">[1]WBN!$G$30</definedName>
    <definedName name="Fluctu13">WBN!$G$90</definedName>
    <definedName name="Fluctu3" localSheetId="3">[1]PR!$G$41</definedName>
    <definedName name="Fluctu3">PR!$G$45</definedName>
    <definedName name="Fluctu4" localSheetId="3">[1]NR!$G$37</definedName>
    <definedName name="Fluctu4">NR!$G$80</definedName>
    <definedName name="Fluctu5" localSheetId="3">[1]CS!$G$41</definedName>
    <definedName name="Fluctu5">CS!$G$50</definedName>
    <definedName name="Fluctu6" localSheetId="3">[1]OE!$G$42</definedName>
    <definedName name="Fluctu6">OE!$G$41</definedName>
    <definedName name="Fluctu8" localSheetId="3">[1]INV!$G$47</definedName>
    <definedName name="Fluctu8">INV!$G$76</definedName>
    <definedName name="Fluctua1" localSheetId="3">[1]WS!$G$42</definedName>
    <definedName name="Fluctua1">WS!$G$36</definedName>
    <definedName name="FocalSp14">SBM!#REF!</definedName>
    <definedName name="Food8">INV!$G$151</definedName>
    <definedName name="Forbs0">POL!$G$52</definedName>
    <definedName name="ForestPctScape11" localSheetId="3">[1]AM!$G$135</definedName>
    <definedName name="ForestPctScape11">AM!#REF!</definedName>
    <definedName name="ForestPctScape14" localSheetId="3">[1]SBM!$G$116</definedName>
    <definedName name="ForestPctScape14">SBM!#REF!</definedName>
    <definedName name="ForestProx11" localSheetId="3">[1]AM!$G$141</definedName>
    <definedName name="ForestProx11">AM!#REF!</definedName>
    <definedName name="ForestProx14" localSheetId="3">[1]SBM!$G$122</definedName>
    <definedName name="ForestProx14">SBM!#REF!</definedName>
    <definedName name="ForestSize11" localSheetId="3">[1]AM!$G$146</definedName>
    <definedName name="ForestSize11">AM!#REF!</definedName>
    <definedName name="ForestSize14" localSheetId="3">[1]SBM!$G$127</definedName>
    <definedName name="ForestSize14">SBM!#REF!</definedName>
    <definedName name="FragStress">STR!$G$83</definedName>
    <definedName name="Freeze_S" localSheetId="3">[1]Sen!$G$115</definedName>
    <definedName name="Freeze_S">Sen!#REF!</definedName>
    <definedName name="Freeze1" localSheetId="3">[1]WS!$G$62</definedName>
    <definedName name="Freeze1">WS!#REF!</definedName>
    <definedName name="Freeze10">FR!#REF!</definedName>
    <definedName name="Freeze12" localSheetId="3">[1]WBF!$D$71</definedName>
    <definedName name="Freeze12">WBF!#REF!</definedName>
    <definedName name="Freeze2" localSheetId="3">[1]SR!#REF!</definedName>
    <definedName name="Freeze2">SR!#REF!</definedName>
    <definedName name="Freeze3" localSheetId="3">[1]PR!$G$73</definedName>
    <definedName name="Freeze3">PR!#REF!</definedName>
    <definedName name="Freeze4" localSheetId="3">[1]NR!$G$101</definedName>
    <definedName name="Freeze4">NR!#REF!</definedName>
    <definedName name="Freeze5" localSheetId="3">[1]CS!$G$81</definedName>
    <definedName name="Freeze5">CS!#REF!</definedName>
    <definedName name="Freeze6" localSheetId="3">[1]OE!$G$78</definedName>
    <definedName name="Freeze6">OE!#REF!</definedName>
    <definedName name="Freeze9" localSheetId="3">[1]FA!#REF!</definedName>
    <definedName name="Freeze9">FA!#REF!</definedName>
    <definedName name="FreezeDur5">CS!#REF!</definedName>
    <definedName name="FreezeDura3">PR!$G$149</definedName>
    <definedName name="FreezeProne" localSheetId="3">#REF!</definedName>
    <definedName name="FreezeProne">#REF!</definedName>
    <definedName name="Freezing">WS!#REF!</definedName>
    <definedName name="Fresh11" localSheetId="3">[1]AM!#REF!</definedName>
    <definedName name="Fresh11">AM!#REF!</definedName>
    <definedName name="Friction">WS!$G$91</definedName>
    <definedName name="Fringe1" localSheetId="3">[1]WS!$G$3</definedName>
    <definedName name="Fringe1">WS!#REF!</definedName>
    <definedName name="Fringe10" localSheetId="3">[1]FR!$D$3</definedName>
    <definedName name="Fringe10">FR!#REF!</definedName>
    <definedName name="Fringe12" localSheetId="3">[1]WBF!$D$3</definedName>
    <definedName name="Fringe12">WBF!$D$66</definedName>
    <definedName name="Fringe12a">WBF!$G$66</definedName>
    <definedName name="Fringe13">WBN!$G$69</definedName>
    <definedName name="Fringe14">SBM!#REF!</definedName>
    <definedName name="Fringe14a">SBM!#REF!</definedName>
    <definedName name="Fringe2" localSheetId="3">[1]SR!#REF!</definedName>
    <definedName name="Fringe2">SR!#REF!</definedName>
    <definedName name="Fringe7a">WC!$D$54</definedName>
    <definedName name="Fringe7b">WC!$G$54</definedName>
    <definedName name="Fringe9">FA!#REF!</definedName>
    <definedName name="FrozDur4">NR!$G$217</definedName>
    <definedName name="FrozDur6">OE!$G$112</definedName>
    <definedName name="Frozen2">SR!#REF!</definedName>
    <definedName name="FscoreSRM">SBM!$G$186</definedName>
    <definedName name="FscoreWBF">WBF!$G$171</definedName>
    <definedName name="FscoreWBN">WBN!$G$197</definedName>
    <definedName name="Gcover_S" localSheetId="3">[1]Sen!$G$105</definedName>
    <definedName name="Gcover_S">Sen!$G$100</definedName>
    <definedName name="gcover0" localSheetId="3">[1]POL!$G$64</definedName>
    <definedName name="gcover0">POL!$G$43</definedName>
    <definedName name="Gcover11" localSheetId="3">[1]AM!$G$93</definedName>
    <definedName name="Gcover11">AM!$G$91</definedName>
    <definedName name="Gcover14" localSheetId="3">[1]SBM!$G$57</definedName>
    <definedName name="Gcover14">SBM!$G$102</definedName>
    <definedName name="Gcover2" localSheetId="3">[1]SR!$G$56</definedName>
    <definedName name="Gcover2">SR!$G$16</definedName>
    <definedName name="Gcover3" localSheetId="3">[1]PR!$G$81</definedName>
    <definedName name="Gcover3">PR!$G$16</definedName>
    <definedName name="Gcover4" localSheetId="3">[1]NR!$G$75</definedName>
    <definedName name="Gcover4">NR!$G$42</definedName>
    <definedName name="Gcover5" localSheetId="3">[1]CS!$G$107</definedName>
    <definedName name="Gcover5">CS!#REF!</definedName>
    <definedName name="Gcover6" localSheetId="3">[1]OE!$G$91</definedName>
    <definedName name="Gcover6">OE!$G$24</definedName>
    <definedName name="Gcover8" localSheetId="3">[1]INV!$G$103</definedName>
    <definedName name="Gcover8">INV!$G$45</definedName>
    <definedName name="GDD_S">Sen!$G$60</definedName>
    <definedName name="GDD2_">SFS!#REF!</definedName>
    <definedName name="GDDays1">[2]WS!$G$9</definedName>
    <definedName name="GDDays11">[2]AM!$G$62</definedName>
    <definedName name="GDDays2">[2]SR!$G$9</definedName>
    <definedName name="GDDays3">[2]PR!$G$9</definedName>
    <definedName name="GDDpd">PH!$G$53</definedName>
    <definedName name="Geog11">AM!#REF!</definedName>
    <definedName name="GeogPD">PH!#REF!</definedName>
    <definedName name="Geograph14">SBM!#REF!</definedName>
    <definedName name="Geography12">WBF!#REF!</definedName>
    <definedName name="Geography14">SBM!#REF!</definedName>
    <definedName name="GeogS">Sen!#REF!</definedName>
    <definedName name="girreg0" localSheetId="3">[1]POL!$G$72</definedName>
    <definedName name="girreg0">POL!$G$48</definedName>
    <definedName name="Girreg1" localSheetId="3">[1]WS!$G$63</definedName>
    <definedName name="Girreg1">WS!$G$20</definedName>
    <definedName name="Girreg11" localSheetId="3">[1]AM!$G$104</definedName>
    <definedName name="Girreg11">AM!$G$96</definedName>
    <definedName name="Girreg14" localSheetId="3">[1]SBM!$G$72</definedName>
    <definedName name="Girreg14">SBM!$G$107</definedName>
    <definedName name="Girreg2" localSheetId="3">[1]SR!$G$61</definedName>
    <definedName name="Girreg2">SR!$G$21</definedName>
    <definedName name="Girreg3" localSheetId="3">[1]PR!$G$91</definedName>
    <definedName name="Girreg3">PR!$G$21</definedName>
    <definedName name="Girreg4" localSheetId="3">[1]NR!$G$92</definedName>
    <definedName name="Girreg4">NR!$G$47</definedName>
    <definedName name="Girreg5" localSheetId="3">[1]CS!$G$117</definedName>
    <definedName name="Girreg5">CS!#REF!</definedName>
    <definedName name="Girreg6" localSheetId="3">[1]OE!$G$101</definedName>
    <definedName name="Girreg6">OE!#REF!</definedName>
    <definedName name="Girreg8" localSheetId="3">[1]INV!$G$111</definedName>
    <definedName name="Girreg8">INV!$G$50</definedName>
    <definedName name="GirregCQ">EC!$G$15</definedName>
    <definedName name="GirregPD" localSheetId="3">[1]PD!$G$100</definedName>
    <definedName name="GirregPD">PH!$G$73</definedName>
    <definedName name="Glacier1">WS!#REF!</definedName>
    <definedName name="Glacier10">FR!#REF!</definedName>
    <definedName name="Glacier11">AM!#REF!</definedName>
    <definedName name="Glacier2">SR!#REF!</definedName>
    <definedName name="glacier2_">SFS!#REF!</definedName>
    <definedName name="Glacier3">PR!#REF!</definedName>
    <definedName name="Glacier5">CS!#REF!</definedName>
    <definedName name="Glacier6">OE!#REF!</definedName>
    <definedName name="Glacier7">WC!#REF!</definedName>
    <definedName name="Glacier7w">#REF!</definedName>
    <definedName name="Glacier8">INV!#REF!</definedName>
    <definedName name="Glacier9">FA!#REF!</definedName>
    <definedName name="GlacierPD">PH!#REF!</definedName>
    <definedName name="Glean20">PH!#REF!</definedName>
    <definedName name="GpA_2">SFS!$G$42</definedName>
    <definedName name="GpA7c">WC!#REF!</definedName>
    <definedName name="GpA7w">#REF!</definedName>
    <definedName name="GpB_2">SFS!$G$43</definedName>
    <definedName name="GpB7c">WC!#REF!</definedName>
    <definedName name="GpB7w">#REF!</definedName>
    <definedName name="GpC_2">SFS!$G$44</definedName>
    <definedName name="Gradient1" localSheetId="3">[1]WS!$G$67</definedName>
    <definedName name="Gradient1">WS!$G$68</definedName>
    <definedName name="Gradient11" localSheetId="3">[1]AM!$G$108</definedName>
    <definedName name="Gradient11">AM!#REF!</definedName>
    <definedName name="Gradient12" localSheetId="3">[1]WBF!$G$96</definedName>
    <definedName name="Gradient12">WBF!$G$123</definedName>
    <definedName name="Gradient13" localSheetId="3">[1]WBN!$G$108</definedName>
    <definedName name="Gradient13">WBN!$G$150</definedName>
    <definedName name="Gradient2" localSheetId="3">[1]SR!$G$65</definedName>
    <definedName name="Gradient2">SR!$G$89</definedName>
    <definedName name="Gradient3" localSheetId="3">[1]PR!$G$95</definedName>
    <definedName name="Gradient3">PR!$G$96</definedName>
    <definedName name="Gradient4" localSheetId="3">[1]NR!$G$96</definedName>
    <definedName name="Gradient4">NR!$G$134</definedName>
    <definedName name="Gradient5" localSheetId="3">[1]CS!$G$121</definedName>
    <definedName name="Gradient5">CS!$G$96</definedName>
    <definedName name="Gradient6" localSheetId="3">[1]OE!$G$105</definedName>
    <definedName name="Gradient6">OE!$G$97</definedName>
    <definedName name="gramin0" localSheetId="3">[1]POL!$G$18</definedName>
    <definedName name="gramin0">POL!$G$52</definedName>
    <definedName name="Granite10">FR!#REF!</definedName>
    <definedName name="Granite4">NR!#REF!</definedName>
    <definedName name="Granite5">CS!#REF!</definedName>
    <definedName name="Granite6">OE!#REF!</definedName>
    <definedName name="Granite7">INV!#REF!</definedName>
    <definedName name="GranitePD">PH!#REF!</definedName>
    <definedName name="GraniteSoilPD">PH!#REF!</definedName>
    <definedName name="groundw0" localSheetId="3">[1]POL!#REF!</definedName>
    <definedName name="groundw0">POL!#REF!</definedName>
    <definedName name="Groundw1">WS!$G$64</definedName>
    <definedName name="Groundw10">FR!$G$92</definedName>
    <definedName name="GroundW11" localSheetId="3">[1]AM!$G$49</definedName>
    <definedName name="GroundW11">AM!$G$161</definedName>
    <definedName name="Groundw13" localSheetId="3">[1]WBN!#REF!</definedName>
    <definedName name="Groundw13">WBN!#REF!</definedName>
    <definedName name="Groundw2_">SFS!$G$32</definedName>
    <definedName name="Groundw3">PR!$G$132</definedName>
    <definedName name="Groundw4" localSheetId="3">[1]NR!$G$44</definedName>
    <definedName name="Groundw4">NR!$G$130</definedName>
    <definedName name="GroundW5" localSheetId="3">[1]CS!$G$53</definedName>
    <definedName name="GroundW5">CS!$G$92</definedName>
    <definedName name="Groundw6">OE!$G$93</definedName>
    <definedName name="GroundW8" localSheetId="3">[1]INV!$G$64</definedName>
    <definedName name="Groundw8">INV!$G$124</definedName>
    <definedName name="GroundW9" localSheetId="3">[1]FA!$G$45</definedName>
    <definedName name="GroundW9">FA!$G$105</definedName>
    <definedName name="GroundwCooling">WC!#REF!</definedName>
    <definedName name="GroundwDisch">SFS!$G$44</definedName>
    <definedName name="GroundwLF">SFS!$G$44</definedName>
    <definedName name="GroundwWarming">#REF!</definedName>
    <definedName name="GrowD">OF!$D$133</definedName>
    <definedName name="GrowthRate">Sen!$G$192</definedName>
    <definedName name="Gwater7" localSheetId="3">[1]T!$G$19</definedName>
    <definedName name="Gwater7">WC!$G$39</definedName>
    <definedName name="Gwater7w">#REF!</definedName>
    <definedName name="GWpd">PH!$G$147</definedName>
    <definedName name="GWrisk4" localSheetId="3">[1]NR!$G$139</definedName>
    <definedName name="GWrisk4">NR!#REF!</definedName>
    <definedName name="GWsens">NR!$G$161</definedName>
    <definedName name="GWval7" localSheetId="3">[1]T!#REF!</definedName>
    <definedName name="GWval7">WC!#REF!</definedName>
    <definedName name="Hardwd14">SBM!#REF!</definedName>
    <definedName name="HardwdPD">PH!#REF!</definedName>
    <definedName name="Hardwood8">INV!#REF!</definedName>
    <definedName name="Harvested" localSheetId="3">#REF!</definedName>
    <definedName name="Harvested">#REF!</definedName>
    <definedName name="HasWater5">CS!#REF!</definedName>
    <definedName name="herb1pd" localSheetId="3">[1]PD!$G$60</definedName>
    <definedName name="herb2pd" localSheetId="3">[1]PD!$G$69</definedName>
    <definedName name="herb2pd">PH!#REF!</definedName>
    <definedName name="herbdiv0">POL!$G$58</definedName>
    <definedName name="HerbDiv8">INV!$G$54</definedName>
    <definedName name="HerbDom1">EC!$G$19</definedName>
    <definedName name="herbdom15">PH!$G$83</definedName>
    <definedName name="HerbDom2" localSheetId="3">[1]Sen!$G$68</definedName>
    <definedName name="HerbDom2">Sen!$G$111</definedName>
    <definedName name="herblt50">POL!#REF!</definedName>
    <definedName name="herbpct0">POL!#REF!</definedName>
    <definedName name="herbrare0" localSheetId="3">[1]POL!$G$31</definedName>
    <definedName name="herbrare0">POL!#REF!</definedName>
    <definedName name="herbsens0" localSheetId="3">[1]POL!$G$22</definedName>
    <definedName name="herbsens0">POL!$G$61</definedName>
    <definedName name="HerbSens2_S" localSheetId="3">[1]Sen!$G$71</definedName>
    <definedName name="HerbSens2_S">Sen!#REF!</definedName>
    <definedName name="HerbUbiq1">EC!#REF!</definedName>
    <definedName name="HerbUniq">AM!$G$189</definedName>
    <definedName name="HerbUniq0">POL!$G$85</definedName>
    <definedName name="HerbUniq12">WBF!$G$142</definedName>
    <definedName name="HerbUniq13">WBN!$G$178</definedName>
    <definedName name="HerbUniq14">SBM!$G$166</definedName>
    <definedName name="HerbUniq20">PH!$G$184</definedName>
    <definedName name="HistAccum5">CS!$G$115</definedName>
    <definedName name="HistAccum6">OE!$G$110</definedName>
    <definedName name="HistDry12" localSheetId="3">[1]WBF!$G$18</definedName>
    <definedName name="HistDry12">WBF!#REF!</definedName>
    <definedName name="HistDry13" localSheetId="3">[1]WBN!$G$10</definedName>
    <definedName name="HistDry13">WBN!#REF!</definedName>
    <definedName name="HistDry3">PR!#REF!</definedName>
    <definedName name="HistDry4" localSheetId="3">[1]NR!#REF!</definedName>
    <definedName name="HistDry4">NR!#REF!</definedName>
    <definedName name="HistDry5" localSheetId="3">[1]CS!$G$15</definedName>
    <definedName name="HistDry5">CS!#REF!</definedName>
    <definedName name="HistWet11" localSheetId="3">[1]AM!#REF!</definedName>
    <definedName name="HistWet11">AM!#REF!</definedName>
    <definedName name="HistWet12" localSheetId="3">[1]WBF!#REF!</definedName>
    <definedName name="HistWet12">WBF!#REF!</definedName>
    <definedName name="HistWet13" localSheetId="3">[1]WBN!#REF!</definedName>
    <definedName name="HistWet13">WBN!#REF!</definedName>
    <definedName name="HistWet3" localSheetId="3">[1]PR!#REF!</definedName>
    <definedName name="HistWet3">PR!#REF!</definedName>
    <definedName name="HistWet4" localSheetId="3">[1]NR!#REF!</definedName>
    <definedName name="HistWet4">NR!#REF!</definedName>
    <definedName name="HistWet5" localSheetId="3">[1]CS!#REF!</definedName>
    <definedName name="HistWet5">CS!#REF!</definedName>
    <definedName name="HotSpring7" localSheetId="3">[1]T!$D$4</definedName>
    <definedName name="HotSpring7">WC!#REF!</definedName>
    <definedName name="Hotspring9" localSheetId="3">[1]FA!$D$5</definedName>
    <definedName name="Hotspring9">FA!#REF!</definedName>
    <definedName name="HtDiv12" localSheetId="3">[1]WBF!#REF!</definedName>
    <definedName name="HtDiv12">WBF!#REF!</definedName>
    <definedName name="HtDiv13" localSheetId="3">[1]WBN!$G$105</definedName>
    <definedName name="HtDiv13">WBN!#REF!</definedName>
    <definedName name="HtDivPD" localSheetId="3">[1]PD!$G$92</definedName>
    <definedName name="HtDivPD">PH!#REF!</definedName>
    <definedName name="htunif0" localSheetId="3">[1]POL!$G$61</definedName>
    <definedName name="htunif0">POL!#REF!</definedName>
    <definedName name="HtUnif14">SBM!#REF!</definedName>
    <definedName name="HUCbigW12" localSheetId="3">[1]WBF!$G$164</definedName>
    <definedName name="HUCbigW12">WBF!#REF!</definedName>
    <definedName name="HUCbigW13" localSheetId="3">[1]WBN!$G$192</definedName>
    <definedName name="HUCbigW13">WBN!#REF!</definedName>
    <definedName name="HUCbigW14">SBM!#REF!</definedName>
    <definedName name="HUCdiv11" localSheetId="3">[1]AM!$G$214</definedName>
    <definedName name="HUCdiv11">AM!#REF!</definedName>
    <definedName name="HUCdiv12" localSheetId="3">[1]WBF!$G$152</definedName>
    <definedName name="HUCdiv12">WBF!#REF!</definedName>
    <definedName name="HUCdiv13">WBN!#REF!</definedName>
    <definedName name="HUCdiv14" localSheetId="3">[1]SBM!$G$180</definedName>
    <definedName name="HUCdiv14">SBM!#REF!</definedName>
    <definedName name="Hydro10">FR!$G$128</definedName>
    <definedName name="Hydro11">AM!$G$203</definedName>
    <definedName name="Hydro12">WBF!$G$165</definedName>
    <definedName name="Hydro13">WBN!$G$190</definedName>
    <definedName name="HydroConn_C" localSheetId="3">[1]CQ!$G$3</definedName>
    <definedName name="HydroConn_C">EC!#REF!</definedName>
    <definedName name="HydroConn2" localSheetId="3">#REF!</definedName>
    <definedName name="HydroConn2">#REF!</definedName>
    <definedName name="Hydropd8">INV!$G$149</definedName>
    <definedName name="Hydropd9">FA!$G$145</definedName>
    <definedName name="HydroStress">STR!$G$81</definedName>
    <definedName name="IBA">WBF!$D$158</definedName>
    <definedName name="IBA12a">WBF!$G$158</definedName>
    <definedName name="IBird12v">WBF!$G$158</definedName>
    <definedName name="Ice2_">SFS!#REF!</definedName>
    <definedName name="IceCov11">[2]AM!$G$142</definedName>
    <definedName name="IceCov12">[2]WBF!$G$118</definedName>
    <definedName name="IceDur2">SFS!#REF!</definedName>
    <definedName name="IceDura10">FR!#REF!</definedName>
    <definedName name="IFDRY2">SR!#REF!</definedName>
    <definedName name="IFNOOUT2">SR!#REF!</definedName>
    <definedName name="IFOUT2">SR!#REF!</definedName>
    <definedName name="imperv2_">SFS!#REF!</definedName>
    <definedName name="Imperv4" localSheetId="3">[1]NR!$G$116</definedName>
    <definedName name="Imperv4">NR!$G$177</definedName>
    <definedName name="Imperv7">WC!$G$45</definedName>
    <definedName name="Imperv7w">#REF!</definedName>
    <definedName name="ImpervCA">INV!$G$10</definedName>
    <definedName name="ImpervCA3" localSheetId="3">[1]PR!$G$116</definedName>
    <definedName name="ImpervCA3">PR!$G$118</definedName>
    <definedName name="ImpervCA9">FA!$G$16</definedName>
    <definedName name="ImpervPct" localSheetId="3">#REF!</definedName>
    <definedName name="ImpervPct">#REF!</definedName>
    <definedName name="ImpervPctSS" localSheetId="3">[1]SR!$G$90</definedName>
    <definedName name="ImpervPctSS">SR!$G$111</definedName>
    <definedName name="Inclus11" localSheetId="3">[1]AM!$B$98</definedName>
    <definedName name="Inclus11">AM!$B$100</definedName>
    <definedName name="Inclus11a">AM!$G$100</definedName>
    <definedName name="Inclus14" localSheetId="3">[1]SBM!$G$66</definedName>
    <definedName name="Inclus14">SBM!$G$111</definedName>
    <definedName name="Inclus4" localSheetId="3">[1]NR!$G$84</definedName>
    <definedName name="Inclus4">NR!$G$51</definedName>
    <definedName name="inflo">Sen!#REF!</definedName>
    <definedName name="Inflo2">SR!$G$132</definedName>
    <definedName name="Inflo3">PR!$D$126</definedName>
    <definedName name="Inflo4">NR!$D$191</definedName>
    <definedName name="InfloPD">PH!$D$133</definedName>
    <definedName name="Inflow" localSheetId="3">[1]STR!$G$10</definedName>
    <definedName name="Inflow">STR!#REF!</definedName>
    <definedName name="Inflow4a">NR!$G$191</definedName>
    <definedName name="InFlowPD">PH!$G$133</definedName>
    <definedName name="Inflows">F!$D$216</definedName>
    <definedName name="InflowW">#REF!</definedName>
    <definedName name="InOut">F!#REF!</definedName>
    <definedName name="InTemp7">#REF!</definedName>
    <definedName name="Interann10">FR!#REF!</definedName>
    <definedName name="Interann6" localSheetId="3">[1]OE!$G$16</definedName>
    <definedName name="Interann6">OE!#REF!</definedName>
    <definedName name="Interann8" localSheetId="3">[1]INV!$G$10</definedName>
    <definedName name="Interann8">INV!#REF!</definedName>
    <definedName name="interannPD" localSheetId="3">[1]PD!$G$28</definedName>
    <definedName name="interannPD">PH!#REF!</definedName>
    <definedName name="Interannual4" localSheetId="3">[1]NR!$G$4</definedName>
    <definedName name="Interannual4">NR!#REF!</definedName>
    <definedName name="Intercep4">NR!$G$218</definedName>
    <definedName name="IntercepDry3">PR!$G$150</definedName>
    <definedName name="IntercepWet3">PR!$G$151</definedName>
    <definedName name="Interspers10" localSheetId="3">[1]FR!$G$58</definedName>
    <definedName name="Interspers10">FR!$G$59</definedName>
    <definedName name="Interspers11" localSheetId="3">[1]AM!$G$48</definedName>
    <definedName name="Interspers11">AM!$G$149</definedName>
    <definedName name="Interspers12" localSheetId="3">[1]WBF!$G$54</definedName>
    <definedName name="Interspers12">WBF!$G$110</definedName>
    <definedName name="Interspers13" localSheetId="3">[1]WBN!$G$49</definedName>
    <definedName name="Interspers13">WBN!$G$137</definedName>
    <definedName name="Interspers14">SBM!$G$135</definedName>
    <definedName name="Interspers2" localSheetId="3">[1]SR!#REF!</definedName>
    <definedName name="Interspers2">SR!$G$69</definedName>
    <definedName name="Interspers3" localSheetId="3">[1]PR!#REF!</definedName>
    <definedName name="Interspers3">PR!$G$71</definedName>
    <definedName name="Interspers4" localSheetId="3">[1]NR!$G$43</definedName>
    <definedName name="Interspers4">NR!$G$106</definedName>
    <definedName name="Interspers5" localSheetId="3">[1]CS!#REF!</definedName>
    <definedName name="Interspers5">CS!#REF!</definedName>
    <definedName name="Interspers6" localSheetId="3">[1]OE!$G$54</definedName>
    <definedName name="Interspers6">OE!$G$73</definedName>
    <definedName name="Interspers8" localSheetId="3">[1]INV!$G$63</definedName>
    <definedName name="Interspers8">INV!$G$105</definedName>
    <definedName name="Interspers9" localSheetId="3">[1]FA!$G$44</definedName>
    <definedName name="Interspers9">FA!$G$77</definedName>
    <definedName name="InterspersPD">PH!$G$129</definedName>
    <definedName name="Invas15">PH!$G$86</definedName>
    <definedName name="InvasDom1">PH!$D$91</definedName>
    <definedName name="Invest">PU!$G$57</definedName>
    <definedName name="InvScore2_">SFS!$G$38</definedName>
    <definedName name="Island13">WBN!$G$141</definedName>
    <definedName name="Islands11" localSheetId="3">[1]AM!$G$70</definedName>
    <definedName name="Islands11">AM!#REF!</definedName>
    <definedName name="Islands12">WBF!#REF!</definedName>
    <definedName name="Islands13" localSheetId="3">[1]WBN!$G$69</definedName>
    <definedName name="Islands13">WBN!#REF!</definedName>
    <definedName name="Iso3Wet">PR!#REF!</definedName>
    <definedName name="IsoDry_S" localSheetId="3">[1]Sen!$G$5</definedName>
    <definedName name="IsoDry_S">Sen!$G$133</definedName>
    <definedName name="IsoDry1" localSheetId="3">[1]WS!$G$29</definedName>
    <definedName name="IsoDry1">WS!$G$42</definedName>
    <definedName name="ISOdry10" localSheetId="3">[1]FR!$G$37</definedName>
    <definedName name="ISOdry10">FR!#REF!</definedName>
    <definedName name="ISOdry11" localSheetId="3">[1]AM!$G$20</definedName>
    <definedName name="ISOdry11">AM!#REF!</definedName>
    <definedName name="IsoDry12" localSheetId="3">[1]WBF!#REF!</definedName>
    <definedName name="IsoDry12">WBF!#REF!</definedName>
    <definedName name="ISOdry13" localSheetId="3">[1]WBN!$G$23</definedName>
    <definedName name="ISOdry13">WBN!$G$106</definedName>
    <definedName name="IsoDry2" localSheetId="3">[1]SR!$G$17</definedName>
    <definedName name="IsoDry2">SR!#REF!</definedName>
    <definedName name="ISOdry3" localSheetId="3">[1]PR!$G$34</definedName>
    <definedName name="ISOdry3">PR!#REF!</definedName>
    <definedName name="ISOdry4" localSheetId="3">[1]NR!$G$24</definedName>
    <definedName name="ISOdry4">NR!#REF!</definedName>
    <definedName name="ISOdry6" localSheetId="3">[1]OE!$G$29</definedName>
    <definedName name="ISOdry6">OE!#REF!</definedName>
    <definedName name="ISOdry7" localSheetId="3">[1]T!$G$6</definedName>
    <definedName name="ISOdry7">WC!$G$26</definedName>
    <definedName name="ISOdry7w">#REF!</definedName>
    <definedName name="IsoDry8" localSheetId="3">[1]INV!$G$30</definedName>
    <definedName name="IsoDry8">INV!#REF!</definedName>
    <definedName name="IsoWet1" localSheetId="3">[1]WS!$G$15</definedName>
    <definedName name="IsoWet1">WS!#REF!</definedName>
    <definedName name="ISOwet10" localSheetId="3">[1]FR!$G$23</definedName>
    <definedName name="ISOwet10">FR!#REF!</definedName>
    <definedName name="ISOwet11" localSheetId="3">[1]AM!$G$6</definedName>
    <definedName name="ISOwet11">AM!$G$129</definedName>
    <definedName name="ISOwet12" localSheetId="3">[1]WBF!$G$37</definedName>
    <definedName name="ISOwet12">WBF!$G$97</definedName>
    <definedName name="ISOwet13" localSheetId="3">[1]WBN!#REF!</definedName>
    <definedName name="ISOwet13">WBN!#REF!</definedName>
    <definedName name="IsoWet2">SR!$G$43</definedName>
    <definedName name="IsoWet2a">SR!$G$43</definedName>
    <definedName name="IsoWet2s">SR!$G$43</definedName>
    <definedName name="IsoWet3p">PR!#REF!</definedName>
    <definedName name="ISOwet4" localSheetId="3">[1]NR!$G$10</definedName>
    <definedName name="ISOwet4">NR!#REF!</definedName>
    <definedName name="ISOwet5" localSheetId="3">[1]CS!$G$21</definedName>
    <definedName name="ISOwet5">CS!$G$62</definedName>
    <definedName name="ISOwet6" localSheetId="3">[1]OE!$G$22</definedName>
    <definedName name="ISOwet6">OE!#REF!</definedName>
    <definedName name="IsoWet8" localSheetId="3">[1]INV!$G$16</definedName>
    <definedName name="IsoWet8">INV!$G$92</definedName>
    <definedName name="ISOwet9" localSheetId="3">[1]FA!$G$21</definedName>
    <definedName name="ISOwet9">FA!#REF!</definedName>
    <definedName name="Karst10">FR!#REF!</definedName>
    <definedName name="Karst10a">FR!$G$14</definedName>
    <definedName name="Karst11">AM!$G$59</definedName>
    <definedName name="Karst16">PH!$D$54</definedName>
    <definedName name="Karst16a">PH!$G$54</definedName>
    <definedName name="Karst5a">CS!#REF!</definedName>
    <definedName name="Karst6">OE!#REF!</definedName>
    <definedName name="Karst6a">OE!#REF!</definedName>
    <definedName name="Karst7a">INV!#REF!</definedName>
    <definedName name="karst8">INV!$G$15</definedName>
    <definedName name="Karst9">FA!$G$25</definedName>
    <definedName name="Karst9a">FA!$G$25</definedName>
    <definedName name="Karstt5">CS!#REF!</definedName>
    <definedName name="Lacus" localSheetId="3">#REF!</definedName>
    <definedName name="Lacus">#REF!</definedName>
    <definedName name="Lacus13a">WBN!$G$70</definedName>
    <definedName name="Lacus7" localSheetId="3">[1]T!$D$3</definedName>
    <definedName name="Lacus7">WC!$D$54</definedName>
    <definedName name="Lacus9">FA!#REF!</definedName>
    <definedName name="Lacust10" localSheetId="3">[1]FR!#REF!</definedName>
    <definedName name="Lacust10">FR!#REF!</definedName>
    <definedName name="Lacust13" localSheetId="3">[1]WBN!$D$3</definedName>
    <definedName name="Lacust13">WBN!$D$70</definedName>
    <definedName name="Lake" localSheetId="3">#REF!</definedName>
    <definedName name="Lake">#REF!</definedName>
    <definedName name="Lake10">FR!$D$28</definedName>
    <definedName name="Lake10a">FR!$G$28</definedName>
    <definedName name="Lake12">WBF!$D$67</definedName>
    <definedName name="Lake12a">WBF!$G$67</definedName>
    <definedName name="Lake3">PR!$D$31</definedName>
    <definedName name="Lake3a">PR!$G$31</definedName>
    <definedName name="Lake9">FA!#REF!</definedName>
    <definedName name="LakeNear13" localSheetId="3">[1]WBN!$D$163</definedName>
    <definedName name="LakeNear13">WBN!$D$26</definedName>
    <definedName name="LakeProx_S" localSheetId="3">[1]Sen!$G$153</definedName>
    <definedName name="LakeProx_S">Sen!$G$41</definedName>
    <definedName name="LakeProx13" localSheetId="3">[1]WBN!$G$162</definedName>
    <definedName name="LakeProx13">WBN!$G$25</definedName>
    <definedName name="LakePU">PU!$G$32</definedName>
    <definedName name="LiveStore">WS!$G$90</definedName>
    <definedName name="LiveStore2">SR!$G$146</definedName>
    <definedName name="lomarsh0" localSheetId="3">[1]POL!$G$3</definedName>
    <definedName name="lomarsh0">POL!#REF!</definedName>
    <definedName name="LoMarsh2" localSheetId="3">[1]SR!$G$117</definedName>
    <definedName name="LoMarsh2">SR!#REF!</definedName>
    <definedName name="LoMarsh6" localSheetId="3">[1]OE!$G$10</definedName>
    <definedName name="LoMarsh6">OE!#REF!</definedName>
    <definedName name="LoMarsh8" localSheetId="3">[1]INV!$G$4</definedName>
    <definedName name="LoMarsh8">INV!#REF!</definedName>
    <definedName name="LowerShed">OF!#REF!</definedName>
    <definedName name="LowMarsh1" localSheetId="3">[1]WS!$G$8</definedName>
    <definedName name="LowMarsh1">WS!#REF!</definedName>
    <definedName name="LowMarsh10">FR!#REF!</definedName>
    <definedName name="LowMarsh12" localSheetId="3">[1]WBF!$G$6</definedName>
    <definedName name="LowMarsh12">WBF!#REF!</definedName>
    <definedName name="LowMarsh1all" localSheetId="3">[1]WS!$D$9</definedName>
    <definedName name="LowMarsh1all">WS!#REF!</definedName>
    <definedName name="LowMarsh1gt50" localSheetId="3">[1]WS!$D$10</definedName>
    <definedName name="LowMarsh1gt50">WS!#REF!</definedName>
    <definedName name="LowMarsh9" localSheetId="3">[1]FA!$G$8</definedName>
    <definedName name="LowMarsh9">FA!#REF!</definedName>
    <definedName name="LowMarshAll14" localSheetId="3">[1]SBM!$D$4</definedName>
    <definedName name="LowMarshAll14">SBM!#REF!</definedName>
    <definedName name="LowMarshPct14" localSheetId="3">[1]SBM!$G$3</definedName>
    <definedName name="LowMarshPct14">SBM!#REF!</definedName>
    <definedName name="LowMarshPD" localSheetId="3">[1]PD!$G$3</definedName>
    <definedName name="LowMarshPD">PH!#REF!</definedName>
    <definedName name="Lscape">PH!$G$191</definedName>
    <definedName name="Lscape11">AM!$G$207</definedName>
    <definedName name="Lscape12">WBF!$G$168</definedName>
    <definedName name="Lscape13">WBN!$G$195</definedName>
    <definedName name="Lscape14">SBM!$G$182</definedName>
    <definedName name="Lscape8">INV!$G$152</definedName>
    <definedName name="Lscape9">FA!$G$148</definedName>
    <definedName name="LscapePD">PH!$G$191</definedName>
    <definedName name="Mainland14">SBM!#REF!</definedName>
    <definedName name="Marsh">F!$D$10</definedName>
    <definedName name="MatureF" localSheetId="3">[1]Sen!$D$4</definedName>
    <definedName name="MatureF">Sen!#REF!</definedName>
    <definedName name="MaxFluc2" localSheetId="3">[1]SR!$G$130</definedName>
    <definedName name="MaxFluc2">SR!$G$126</definedName>
    <definedName name="Mesosaline11" localSheetId="3">[1]AM!#REF!</definedName>
    <definedName name="Mesosaline11">AM!#REF!</definedName>
    <definedName name="MethLimit5">CS!$G$118</definedName>
    <definedName name="MinSIze13" localSheetId="3">[1]WBN!$D$73</definedName>
    <definedName name="MinSIze13">WBN!#REF!</definedName>
    <definedName name="MitigaSite" localSheetId="3">[1]PU!$G$24</definedName>
    <definedName name="MitigaSite">PU!$G$25</definedName>
    <definedName name="MitSite" localSheetId="3">#REF!</definedName>
    <definedName name="MitSite">#REF!</definedName>
    <definedName name="MossCov5">CS!$G$21</definedName>
    <definedName name="MossPD">PH!#REF!</definedName>
    <definedName name="Mudflat12" localSheetId="3">[1]WBF!$G$65</definedName>
    <definedName name="Mudflat12">WBF!$G$55</definedName>
    <definedName name="NatCApct3" localSheetId="3">[1]PR!$G$150</definedName>
    <definedName name="NatCApct3">PR!$G$136</definedName>
    <definedName name="NatCov2mi11">AM!$G$19</definedName>
    <definedName name="natLCpct0">POL!#REF!</definedName>
    <definedName name="NatPctScape8" localSheetId="3">[1]INV!#REF!</definedName>
    <definedName name="NatPctScape8">INV!#REF!</definedName>
    <definedName name="natvacres0" localSheetId="3">[1]POL!$G$89</definedName>
    <definedName name="natvacres0">POL!#REF!</definedName>
    <definedName name="natveg0" localSheetId="3">[1]POL!$G$77</definedName>
    <definedName name="natveg0">POL!#REF!</definedName>
    <definedName name="NatVegBuffPD" localSheetId="3">[1]PD!#REF!</definedName>
    <definedName name="NatVegBuffPD">PH!#REF!</definedName>
    <definedName name="NatVegCA" localSheetId="3">[1]STR!$G$40</definedName>
    <definedName name="NatVegCA">STR!$G$40</definedName>
    <definedName name="NatVegCApd" localSheetId="3">[1]PD!$G$135</definedName>
    <definedName name="NatVegCApd">PH!$G$151</definedName>
    <definedName name="NatVegCUpct_S" localSheetId="3">[1]Sen!$G$116</definedName>
    <definedName name="NatVegCUpct_S">Sen!$G$169</definedName>
    <definedName name="NatVegCUpct10" localSheetId="3">[1]FR!$G$97</definedName>
    <definedName name="NatVegCUpct10">FR!$G$96</definedName>
    <definedName name="NatVegCUpct9" localSheetId="3">[1]FA!$G$93</definedName>
    <definedName name="NatVegCUpct9">FA!$G$109</definedName>
    <definedName name="NatVegPct11" localSheetId="3">[1]AM!$G$152</definedName>
    <definedName name="NatVegPct11">AM!$G$165</definedName>
    <definedName name="NatVegPctCU8" localSheetId="3">[1]INV!$G$122</definedName>
    <definedName name="NatVegPctCU8">INV!$G$128</definedName>
    <definedName name="NatVegPctScape_S" localSheetId="3">[1]Sen!#REF!</definedName>
    <definedName name="NatVegPctScape_S">Sen!#REF!</definedName>
    <definedName name="NatVegPctScape14" localSheetId="3">[1]SBM!$G$133</definedName>
    <definedName name="NatVegPctScape14">SBM!$G$26</definedName>
    <definedName name="NatVegProx_S" localSheetId="3">[1]Sen!$G$127</definedName>
    <definedName name="NatVegProx_S">Sen!$G$18</definedName>
    <definedName name="NatVegProx11" localSheetId="3">[1]AM!$G$188</definedName>
    <definedName name="NatVegProx11">AM!$G$11</definedName>
    <definedName name="NatVegProx14" localSheetId="3">[1]SBM!$G$147</definedName>
    <definedName name="NatVegProx14">SBM!$G$18</definedName>
    <definedName name="NatVegProx8" localSheetId="3">[1]INV!#REF!</definedName>
    <definedName name="NatVegProx8">INV!#REF!</definedName>
    <definedName name="NatVegSize_S" localSheetId="3">[1]Sen!$G$133</definedName>
    <definedName name="NatVegSize_S">Sen!$G$10</definedName>
    <definedName name="NatVegSize11" localSheetId="3">[1]AM!$G$194</definedName>
    <definedName name="NatVegSize11">AM!$G$3</definedName>
    <definedName name="NatVegSize14" localSheetId="3">[1]SBM!$G$153</definedName>
    <definedName name="NatVegSize14">SBM!$G$10</definedName>
    <definedName name="NatVegTractSize" localSheetId="3">[1]WBN!$G$142</definedName>
    <definedName name="NatVegTractSize">WBN!#REF!</definedName>
    <definedName name="natvprox0" localSheetId="3">[1]POL!$G$83</definedName>
    <definedName name="natvprox0">POL!#REF!</definedName>
    <definedName name="Navigable" localSheetId="3">#REF!</definedName>
    <definedName name="Navigable">#REF!</definedName>
    <definedName name="NB">OF!$D$5</definedName>
    <definedName name="NestSites">POL!$G$90</definedName>
    <definedName name="NewWet">NR!$G$139</definedName>
    <definedName name="NewWet_S">Sen!$G$180</definedName>
    <definedName name="NewWet10">FR!#REF!</definedName>
    <definedName name="NewWet11">AM!#REF!</definedName>
    <definedName name="NewWet12">WBF!#REF!</definedName>
    <definedName name="NewWet2a">SR!#REF!</definedName>
    <definedName name="NewWet3">PR!#REF!</definedName>
    <definedName name="NewWet5">CS!$G$101</definedName>
    <definedName name="NewWet6">OE!$G$102</definedName>
    <definedName name="NewWet8">INV!#REF!</definedName>
    <definedName name="NewWetNot">OF!#REF!</definedName>
    <definedName name="NewWetNot6">OE!$D$103</definedName>
    <definedName name="NewWetPD">PH!#REF!</definedName>
    <definedName name="Nfix10">FR!$G$22</definedName>
    <definedName name="Nfix14">SBM!$G$96</definedName>
    <definedName name="Nfix4">NR!$G$185</definedName>
    <definedName name="Nfix5">CS!#REF!</definedName>
    <definedName name="Nfix9">FA!$G$33</definedName>
    <definedName name="Nfixer4" localSheetId="3">[1]NR!#REF!</definedName>
    <definedName name="Nfixer4">NR!#REF!</definedName>
    <definedName name="Nfixer5" localSheetId="3">[1]CS!#REF!</definedName>
    <definedName name="Nfixer5">CS!#REF!</definedName>
    <definedName name="Nfixer6" localSheetId="3">[1]OE!$G$79</definedName>
    <definedName name="Nfixer6">OE!$G$18</definedName>
    <definedName name="Nfixers8" localSheetId="3">[1]INV!$G$94</definedName>
    <definedName name="Nfixers8">INV!$G$39</definedName>
    <definedName name="NfixPD">PH!$G$67</definedName>
    <definedName name="NfixS">Sen!$G$94</definedName>
    <definedName name="NL">OF!$D$8</definedName>
    <definedName name="Nload4" localSheetId="3">[1]NR!#REF!</definedName>
    <definedName name="Nload4">NR!#REF!</definedName>
    <definedName name="nnativ11" localSheetId="3">[1]AM!$G$121</definedName>
    <definedName name="nnativ11">AM!#REF!</definedName>
    <definedName name="NNfish" localSheetId="3">[1]FR!$G$85</definedName>
    <definedName name="NNfish">FR!#REF!</definedName>
    <definedName name="NNfish9" localSheetId="3">[1]FA!$G$82</definedName>
    <definedName name="NNfish9">FA!#REF!</definedName>
    <definedName name="NoAccess9" localSheetId="3">[1]FA!#REF!</definedName>
    <definedName name="NoAccess9">FA!#REF!</definedName>
    <definedName name="NoCA">OF!$D$113</definedName>
    <definedName name="NoDeer">PH!#REF!</definedName>
    <definedName name="NoDeerPD">PH!#REF!</definedName>
    <definedName name="NoDrainage" localSheetId="3">[1]WS!$G$72</definedName>
    <definedName name="NoDrainage">WS!#REF!</definedName>
    <definedName name="NoEmPct">EC!#REF!</definedName>
    <definedName name="NoFreezeFR" localSheetId="3">[1]FR!$G$88</definedName>
    <definedName name="NoFreezeFR">FR!#REF!</definedName>
    <definedName name="NoHerb_S">Sen!#REF!</definedName>
    <definedName name="NoHerbCov">F!$D$89</definedName>
    <definedName name="NoInflo">Sen!#REF!</definedName>
    <definedName name="NonHydric6" localSheetId="3">[1]OE!$G$117</definedName>
    <definedName name="NonHydric6">OE!$G$102</definedName>
    <definedName name="NonNatvAnim" localSheetId="3">#REF!</definedName>
    <definedName name="NonNatvAnim">#REF!</definedName>
    <definedName name="NoOpenPonded">F!$D$171</definedName>
    <definedName name="NoOpenPonded1">F!$D$172</definedName>
    <definedName name="NoOut_S" localSheetId="3">[1]Sen!$D$33</definedName>
    <definedName name="NoOut_S">Sen!$D$151</definedName>
    <definedName name="NoOut3">PR!#REF!</definedName>
    <definedName name="NoOutlet1" localSheetId="3">[1]WS!$D$52</definedName>
    <definedName name="NoOutlet1">WS!$D$53</definedName>
    <definedName name="NoOutlet10" localSheetId="3">[1]FR!$D$63</definedName>
    <definedName name="NoOutlet10">FR!$D$72</definedName>
    <definedName name="NoOutlet2" localSheetId="3">[1]SR!$D$40</definedName>
    <definedName name="NoOutlet2">SR!$D$78</definedName>
    <definedName name="NoOutlet3" localSheetId="3">[1]PR!$D$57</definedName>
    <definedName name="NoOutlet3">PR!$D$81</definedName>
    <definedName name="NoOutlet4" localSheetId="3">[1]NR!$D$53</definedName>
    <definedName name="NoOutlet4">NR!$D$115</definedName>
    <definedName name="NoOutlet5">CS!$D$87</definedName>
    <definedName name="NoOutlet6" localSheetId="3">[1]OE!$D$59</definedName>
    <definedName name="NoOutlet6">OE!$D$82</definedName>
    <definedName name="NoOutlet7" localSheetId="3">[1]T!$D$28</definedName>
    <definedName name="NoPerm10" localSheetId="3">[1]FR!$D$22</definedName>
    <definedName name="NoPermW10" localSheetId="3">[1]FR!$D$35</definedName>
    <definedName name="NoPermW10">FR!$D$41</definedName>
    <definedName name="NoPersis">F!$D$129</definedName>
    <definedName name="NoPonded">F!$D$164</definedName>
    <definedName name="NormalSeasW" localSheetId="3">[1]PD!$G$33</definedName>
    <definedName name="NoRobustEm">F!$D$191</definedName>
    <definedName name="NoScumPD" localSheetId="3">[1]PD!$G$43</definedName>
    <definedName name="NoSeasonal">F!$D$141</definedName>
    <definedName name="NoShrub">F!#REF!</definedName>
    <definedName name="NotCreated" localSheetId="3">[1]NR!$G$102</definedName>
    <definedName name="NotFen5">CS!$G$8</definedName>
    <definedName name="NotNewWet">CS!$D$102</definedName>
    <definedName name="NoTrees">F!#REF!</definedName>
    <definedName name="NoWater1" localSheetId="3">[1]WS!#REF!</definedName>
    <definedName name="NoWater3" localSheetId="3">[1]PR!$D$19</definedName>
    <definedName name="NoWater3">PR!$D$32</definedName>
    <definedName name="NoWater4" localSheetId="3">[1]NR!#REF!</definedName>
    <definedName name="NoWater4">NR!#REF!</definedName>
    <definedName name="NoWater4a" localSheetId="3">[1]NR!$D$9</definedName>
    <definedName name="NoWater4a">NR!$D$61</definedName>
    <definedName name="NoWoody" localSheetId="3">[1]CQ!$G$49</definedName>
    <definedName name="NoWoody">F!#REF!</definedName>
    <definedName name="NoWoody_S">Sen!#REF!</definedName>
    <definedName name="NoWoodyVeg">F!#REF!</definedName>
    <definedName name="NprobUp4" localSheetId="3">[1]NR!$D$129</definedName>
    <definedName name="NprobUp4">NR!#REF!</definedName>
    <definedName name="Nrank4" localSheetId="3">[1]NR!$G$142</definedName>
    <definedName name="Nrank4">NR!#REF!</definedName>
    <definedName name="NRE3a" localSheetId="3">[1]NR!$G$168</definedName>
    <definedName name="NRE3a">NR!#REF!</definedName>
    <definedName name="NS">OF!$D$6</definedName>
    <definedName name="NsampDown">NR!$G$167</definedName>
    <definedName name="NsampUp">NR!$G$162</definedName>
    <definedName name="Nsource4" localSheetId="3">[1]NR!$G$147</definedName>
    <definedName name="Nsource4">NR!$G$215</definedName>
    <definedName name="NtidalJux12" localSheetId="3">[1]WBF!$G$12</definedName>
    <definedName name="NutrAvail6">OE!$G$114</definedName>
    <definedName name="OpenlandProx11">AM!#REF!</definedName>
    <definedName name="OpenPctScape12" localSheetId="3">[1]WBF!$G$112</definedName>
    <definedName name="OpenPctScape12">WBF!#REF!</definedName>
    <definedName name="OpenPonded7">WC!$G$32</definedName>
    <definedName name="OpenPonded7a">#REF!</definedName>
    <definedName name="OpenScapeProx12" localSheetId="3">[1]WBF!$G$118</definedName>
    <definedName name="OpenScapeProx12">WBF!#REF!</definedName>
    <definedName name="OpenSize2">SR!#REF!</definedName>
    <definedName name="OpenStrucs14" localSheetId="3">[1]SBM!#REF!</definedName>
    <definedName name="OpenStrucs14">SBM!#REF!</definedName>
    <definedName name="OpenW">F!$D$169</definedName>
    <definedName name="OpenwSize13">WBN!#REF!</definedName>
    <definedName name="OpWater">F!#REF!</definedName>
    <definedName name="OpWaterDry">F!#REF!</definedName>
    <definedName name="OpWaterWet">F!#REF!</definedName>
    <definedName name="Organic4">NR!$G$220</definedName>
    <definedName name="OutDur2" localSheetId="3">[1]SR!$G$36</definedName>
    <definedName name="OutDur2">SR!$G$73</definedName>
    <definedName name="OutDur2_">SFS!$G$26</definedName>
    <definedName name="OutDur7" localSheetId="3">[1]T!$G$24</definedName>
    <definedName name="OutDur7">WC!$G$55</definedName>
    <definedName name="OutDura_S" localSheetId="3">[1]Sen!$G$29</definedName>
    <definedName name="OutDura_S">Sen!$G$146</definedName>
    <definedName name="OutDura1" localSheetId="3">[1]WS!$G$48</definedName>
    <definedName name="OutDura1">WS!$G$48</definedName>
    <definedName name="OutDura10" localSheetId="3">[1]FR!$G$59</definedName>
    <definedName name="OutDura10">FR!$G$67</definedName>
    <definedName name="OutDura3" localSheetId="3">[1]PR!$G$53</definedName>
    <definedName name="OutDura3">PR!$G$76</definedName>
    <definedName name="OutDura4" localSheetId="3">[1]NR!$G$49</definedName>
    <definedName name="OutDura4">NR!$G$110</definedName>
    <definedName name="OutDura5" localSheetId="3">[1]CS!$G$58</definedName>
    <definedName name="OutDura5">CS!$G$82</definedName>
    <definedName name="OutDura6" localSheetId="3">[1]OE!$G$55</definedName>
    <definedName name="OutDura6">OE!$G$77</definedName>
    <definedName name="OutDura9" localSheetId="3">[1]FA!$G$50</definedName>
    <definedName name="OutDura9">FA!$G$85</definedName>
    <definedName name="Outlet4">NR!#REF!</definedName>
    <definedName name="Outlet4p">NR!#REF!</definedName>
    <definedName name="OutNone">F!$D$211</definedName>
    <definedName name="OutNone1">F!$D$210</definedName>
    <definedName name="OverRich">EC!$G$28</definedName>
    <definedName name="Owner">PU!#REF!</definedName>
    <definedName name="Ownership" localSheetId="3">[1]PU!$G$6</definedName>
    <definedName name="Ownership">PU!$G$27</definedName>
    <definedName name="OwnerSS">STR!$G$26</definedName>
    <definedName name="OWpatchSize8">INV!#REF!</definedName>
    <definedName name="OWpct14">SBM!#REF!</definedName>
    <definedName name="Pcp_S" localSheetId="3">[1]Sen!$G$179</definedName>
    <definedName name="Pcp_S">Sen!#REF!</definedName>
    <definedName name="PdataDown3">PR!#REF!</definedName>
    <definedName name="PdataUp3">PR!#REF!</definedName>
    <definedName name="PdataUpDis3" localSheetId="3">[1]PR!#REF!</definedName>
    <definedName name="PdataUpDis3">PR!#REF!</definedName>
    <definedName name="PdownDis3" localSheetId="3">[1]PR!$G$137</definedName>
    <definedName name="PdownDis3">PR!#REF!</definedName>
    <definedName name="PEI">OF!$D$7</definedName>
    <definedName name="PermPctAll12">WBF!#REF!</definedName>
    <definedName name="PermWaterAll14" localSheetId="3">[1]SBM!$D$16</definedName>
    <definedName name="PermWaterAll14">SBM!#REF!</definedName>
    <definedName name="PermWpct10">FR!$G$36</definedName>
    <definedName name="PermWpct11" localSheetId="3">[1]AM!$G$13</definedName>
    <definedName name="PermWpct11">AM!$G$117</definedName>
    <definedName name="PermWpct12" localSheetId="3">[1]WBF!$G$30</definedName>
    <definedName name="PermWpct12">WBF!$G$75</definedName>
    <definedName name="PermWpct13" localSheetId="3">[1]WBN!$G$16</definedName>
    <definedName name="PermWpct13">WBN!$G$78</definedName>
    <definedName name="PermWpct14">SBM!$G$122</definedName>
    <definedName name="PermWpct3" localSheetId="3">[1]PR!#REF!</definedName>
    <definedName name="PermWpct3">PR!#REF!</definedName>
    <definedName name="PermWpct4" localSheetId="3">[1]NR!$G$17</definedName>
    <definedName name="PermWpct4">NR!$G$68</definedName>
    <definedName name="PermWpct5" localSheetId="3">[1]CS!$G$28</definedName>
    <definedName name="PermWpct5">CS!$G$38</definedName>
    <definedName name="PermWpct8" localSheetId="3">[1]INV!$G$23</definedName>
    <definedName name="PermWpct8">INV!$G$64</definedName>
    <definedName name="PermWpct9">FA!$G$46</definedName>
    <definedName name="PermWpd">PH!#REF!</definedName>
    <definedName name="Persis3" localSheetId="3">[1]PR!$G$27</definedName>
    <definedName name="Persis3">PR!$G$39</definedName>
    <definedName name="persist0" localSheetId="3">[1]POL!$G$9</definedName>
    <definedName name="persist0">POL!$G$67</definedName>
    <definedName name="PersistPct1" localSheetId="3">[1]WS!$G$22</definedName>
    <definedName name="PersistPct1">WS!#REF!</definedName>
    <definedName name="PersistPct2" localSheetId="3">[1]SR!$G$123</definedName>
    <definedName name="PersistPct2">SR!#REF!</definedName>
    <definedName name="PestFish10" localSheetId="3">[1]FR!$G$82</definedName>
    <definedName name="PestFish10">FR!#REF!</definedName>
    <definedName name="PestFish11" localSheetId="3">[1]AM!$G$118</definedName>
    <definedName name="PestFish11">AM!#REF!</definedName>
    <definedName name="PestFish9" localSheetId="3">[1]FA!$G$79</definedName>
    <definedName name="PestFish9">FA!#REF!</definedName>
    <definedName name="PhysAccess" localSheetId="3">#REF!</definedName>
    <definedName name="PhysAccess">#REF!</definedName>
    <definedName name="PhysAccum5">CS!$G$117</definedName>
    <definedName name="Physical" localSheetId="3">[1]CQ!#REF!</definedName>
    <definedName name="Physical">EC!#REF!</definedName>
    <definedName name="PlantCov5">CS!#REF!</definedName>
    <definedName name="PlantCov6">OE!$G$113</definedName>
    <definedName name="PlantSiteS">Sen!#REF!</definedName>
    <definedName name="Playa" localSheetId="3">#REF!</definedName>
    <definedName name="Playa">#REF!</definedName>
    <definedName name="Playa10" localSheetId="3">[1]FR!$D$4</definedName>
    <definedName name="Playa10">FR!#REF!</definedName>
    <definedName name="Playa11" localSheetId="3">[1]AM!$D$3</definedName>
    <definedName name="Playa11">AM!#REF!</definedName>
    <definedName name="Playa12" localSheetId="3">[1]WBF!$D$4</definedName>
    <definedName name="Playa12">WBF!#REF!</definedName>
    <definedName name="Playa12a">WBF!#REF!</definedName>
    <definedName name="Playa5" localSheetId="3">[1]CS!$D$4</definedName>
    <definedName name="Playa5">CS!#REF!</definedName>
    <definedName name="Playa8" localSheetId="3">[1]INV!$D$3</definedName>
    <definedName name="Playa8">INV!#REF!</definedName>
    <definedName name="Playa9" localSheetId="3">[1]FA!$D$4</definedName>
    <definedName name="Playa9">FA!#REF!</definedName>
    <definedName name="Pload3" localSheetId="3">[1]PR!$G$146</definedName>
    <definedName name="Pload3">PR!$G$147</definedName>
    <definedName name="PollenOff">POL!#REF!</definedName>
    <definedName name="PollenOn">POL!$G$89</definedName>
    <definedName name="PolluIn" localSheetId="3">[1]INV!$G$136</definedName>
    <definedName name="PolluIn">INV!#REF!</definedName>
    <definedName name="PolluIn13">WBN!#REF!</definedName>
    <definedName name="PolluIn14" localSheetId="3">[1]WBF!$D$159</definedName>
    <definedName name="PolluIn14">WBF!#REF!</definedName>
    <definedName name="Ponded">F!#REF!</definedName>
    <definedName name="Ponded12">WBF!#REF!</definedName>
    <definedName name="Ponded7">[2]WC!$G$20</definedName>
    <definedName name="PondedPct2">SR!#REF!</definedName>
    <definedName name="PondedPct6">OE!$G$53</definedName>
    <definedName name="Ponding2">SR!$G$43</definedName>
    <definedName name="PondNum11v">AM!$G$189</definedName>
    <definedName name="PondNum12v">WBF!$G$142</definedName>
    <definedName name="PondNum13v">WBN!$G$178</definedName>
    <definedName name="PondNum14v">SBM!#REF!</definedName>
    <definedName name="PondOpenSize11">AM!#REF!</definedName>
    <definedName name="PondPct4">NR!$G$86</definedName>
    <definedName name="PondPctScape11" localSheetId="3">[1]AM!$G$200</definedName>
    <definedName name="PondPctScape11">AM!#REF!</definedName>
    <definedName name="PondPctScape12" localSheetId="3">[1]WBF!$G$123</definedName>
    <definedName name="PondPctScape12">WBF!#REF!</definedName>
    <definedName name="PondPctScape14" localSheetId="3">[1]SBM!$G$159</definedName>
    <definedName name="PondPctScape14">SBM!#REF!</definedName>
    <definedName name="PondProx_S" localSheetId="3">[1]Sen!$G$146</definedName>
    <definedName name="PondProx_S">Sen!$G$32</definedName>
    <definedName name="PondProx11" localSheetId="3">[1]AM!$G$207</definedName>
    <definedName name="PondProx11">AM!$G$36</definedName>
    <definedName name="PondProx12" localSheetId="3">[1]WBF!$G$130</definedName>
    <definedName name="PondProx12">WBF!$G$10</definedName>
    <definedName name="PondProx13" localSheetId="3">[1]WBN!$G$155</definedName>
    <definedName name="PondProx13">WBN!$G$17</definedName>
    <definedName name="PondProx14">SBM!$G$49</definedName>
    <definedName name="PondProx15">PH!$G$45</definedName>
    <definedName name="PopCtr12">WBF!$G$143</definedName>
    <definedName name="PopCtr14">SBM!$G$35</definedName>
    <definedName name="PopCtr15">PH!$G$32</definedName>
    <definedName name="PopCtr9">FA!$G$122</definedName>
    <definedName name="PopCtrDisPU">PU!$G$3</definedName>
    <definedName name="PopCtrDisS">#REF!</definedName>
    <definedName name="PopCtrDist">STR!$G$3</definedName>
    <definedName name="PopDist10">FR!$G$105</definedName>
    <definedName name="PopDist4">NR!$G$148</definedName>
    <definedName name="PosShed3" localSheetId="3">[1]PR!$G$107</definedName>
    <definedName name="PosShed3">PR!#REF!</definedName>
    <definedName name="PprobUp2" localSheetId="3">[1]PR!$D$134</definedName>
    <definedName name="PprobUp2">PR!#REF!</definedName>
    <definedName name="Prank3" localSheetId="3">[1]PR!$G$141</definedName>
    <definedName name="Prank3">PR!#REF!</definedName>
    <definedName name="Precip11" localSheetId="3">[1]AM!$G$237</definedName>
    <definedName name="Precip11">AM!#REF!</definedName>
    <definedName name="Precip12" localSheetId="3">[1]WBF!$G$174</definedName>
    <definedName name="Precip12">WBF!#REF!</definedName>
    <definedName name="Precip6">OE!#REF!</definedName>
    <definedName name="PrecipAnnu" localSheetId="3">#REF!</definedName>
    <definedName name="PrecipAnnu">#REF!</definedName>
    <definedName name="PrecipPD" localSheetId="3">[1]PD!$G$188</definedName>
    <definedName name="PrecipPD">PH!#REF!</definedName>
    <definedName name="_xlnm.Print_Area" localSheetId="2">F!$A$3:$D$307</definedName>
    <definedName name="_xlnm.Print_Area" localSheetId="1">OF!$A$1:$E$157</definedName>
    <definedName name="_xlnm.Print_Area" localSheetId="3">S!$A$1:$F$86</definedName>
    <definedName name="_xlnm.Print_Area" localSheetId="4">Scores!$A$1:$Q$29</definedName>
    <definedName name="Produc">SBM!$G$181</definedName>
    <definedName name="Produc10">FR!$G$130</definedName>
    <definedName name="Produc11">AM!$G$206</definedName>
    <definedName name="Produc12">WBF!$G$167</definedName>
    <definedName name="Produc13">WBN!$G$192</definedName>
    <definedName name="Produc14">SBM!$G$181</definedName>
    <definedName name="Produc9">FA!$G$147</definedName>
    <definedName name="Productiv">CS!$G$116</definedName>
    <definedName name="Productiv6">OE!$G$111</definedName>
    <definedName name="ProtecStatus">PU!#REF!</definedName>
    <definedName name="Protect13">WBN!#REF!</definedName>
    <definedName name="PsampDown3">PR!$G$108</definedName>
    <definedName name="PsampUp3">PR!$G$103</definedName>
    <definedName name="PubAccess" localSheetId="3">[1]PU!$G$9</definedName>
    <definedName name="PubAccess">PU!#REF!</definedName>
    <definedName name="Rare11" localSheetId="3">[1]AM!$G$232</definedName>
    <definedName name="Rare11">AM!#REF!</definedName>
    <definedName name="Rare12" localSheetId="3">[1]WBF!$G$170</definedName>
    <definedName name="Rare12">WBF!$G$157</definedName>
    <definedName name="Rare13" localSheetId="3">[1]WBN!$G$199</definedName>
    <definedName name="Rare13">WBN!$G$187</definedName>
    <definedName name="Rare14" localSheetId="3">[1]SBM!$G$199</definedName>
    <definedName name="Rare14">SBM!$G$176</definedName>
    <definedName name="rare8" localSheetId="3">[1]INV!$G$144</definedName>
    <definedName name="rare8">INV!#REF!</definedName>
    <definedName name="RareAll" localSheetId="3">[1]CQ!$G$76</definedName>
    <definedName name="RareAll">EC!$G$3</definedName>
    <definedName name="rarecommu" localSheetId="3">[1]POL!$G$123</definedName>
    <definedName name="rarecommu">POL!#REF!</definedName>
    <definedName name="RareComPD">PH!#REF!</definedName>
    <definedName name="RareFNA" localSheetId="3">[1]FR!$G$106</definedName>
    <definedName name="RareFNA">FR!#REF!</definedName>
    <definedName name="RareFR">FR!#REF!</definedName>
    <definedName name="rareherb" localSheetId="3">[1]POL!$G$122</definedName>
    <definedName name="rareherb">POL!$G$87</definedName>
    <definedName name="RareHerp">AM!$G$199</definedName>
    <definedName name="RarePcom" localSheetId="3">[1]PD!$G$183</definedName>
    <definedName name="RarePcom">PH!#REF!</definedName>
    <definedName name="RarePsp20">PH!$G$186</definedName>
    <definedName name="RareSpp_S">Sen!$G$61</definedName>
    <definedName name="RareSpPD">PH!$D$185</definedName>
    <definedName name="RareType" localSheetId="3">#REF!</definedName>
    <definedName name="RareType">#REF!</definedName>
    <definedName name="RareTypePD">PH!#REF!</definedName>
    <definedName name="RareWclass_S">Sen!#REF!</definedName>
    <definedName name="RareWclass0">POL!#REF!</definedName>
    <definedName name="RareWclass11">AM!#REF!</definedName>
    <definedName name="RareWclass12">WBF!#REF!</definedName>
    <definedName name="RareWclass13">WBN!#REF!</definedName>
    <definedName name="RareWclass14">SBM!#REF!</definedName>
    <definedName name="RareWclass8">INV!#REF!</definedName>
    <definedName name="RareWclassPD">PH!$G$184</definedName>
    <definedName name="RdBox" localSheetId="3">[1]STR!$G$61</definedName>
    <definedName name="RdBox">STR!$G$16</definedName>
    <definedName name="RdBox14" localSheetId="3">[1]SBM!$G$108</definedName>
    <definedName name="RdBox14">SBM!$G$48</definedName>
    <definedName name="RdCirc11">[3]AM!$G$206</definedName>
    <definedName name="RdDis11" localSheetId="3">[1]AM!$G$167</definedName>
    <definedName name="RdDis11">AM!$G$28</definedName>
    <definedName name="RdDis13" localSheetId="3">[1]WBN!$G$179</definedName>
    <definedName name="RdDis13">WBN!$G$10</definedName>
    <definedName name="RdDist4">NR!$G$154</definedName>
    <definedName name="RecPot">PU!$G$58</definedName>
    <definedName name="RecreaPoten" localSheetId="3">[1]PU!$G$16</definedName>
    <definedName name="RecreaPoten">PU!$G$37</definedName>
    <definedName name="RecUse">STR!$G$58</definedName>
    <definedName name="Redox4">NR!$G$221</definedName>
    <definedName name="ResFish" localSheetId="3">[1]INV!$G$160</definedName>
    <definedName name="ResFish">INV!$G$142</definedName>
    <definedName name="ResFishScore2_">SFS!$G$40</definedName>
    <definedName name="RoadCirc11" localSheetId="3">[1]AM!$G$166</definedName>
    <definedName name="RoadCirc11">AM!$G$35</definedName>
    <definedName name="RoadDist" localSheetId="3">#REF!</definedName>
    <definedName name="RoadDist">#REF!</definedName>
    <definedName name="S1A">S!#REF!</definedName>
    <definedName name="S2A">S!#REF!</definedName>
    <definedName name="S2B">S!#REF!</definedName>
    <definedName name="S2C">S!#REF!</definedName>
    <definedName name="S3A">S!#REF!</definedName>
    <definedName name="S3B">S!#REF!</definedName>
    <definedName name="S3C">S!#REF!</definedName>
    <definedName name="S4A">S!#REF!</definedName>
    <definedName name="S4B">S!#REF!</definedName>
    <definedName name="S4C">S!#REF!</definedName>
    <definedName name="S5A">S!#REF!</definedName>
    <definedName name="S5B">S!#REF!</definedName>
    <definedName name="S5C">S!#REF!</definedName>
    <definedName name="s6a">S!#REF!</definedName>
    <definedName name="s6a1">S!#REF!</definedName>
    <definedName name="s6b">S!#REF!</definedName>
    <definedName name="S7A">S!#REF!</definedName>
    <definedName name="S7B">S!#REF!</definedName>
    <definedName name="S7C">S!#REF!</definedName>
    <definedName name="S8A">S!#REF!</definedName>
    <definedName name="S8A1">S!#REF!</definedName>
    <definedName name="S8B">S!#REF!</definedName>
    <definedName name="S8C">S!#REF!</definedName>
    <definedName name="s9a">S!#REF!</definedName>
    <definedName name="s9b">S!#REF!</definedName>
    <definedName name="s9c">S!#REF!</definedName>
    <definedName name="Salin3" localSheetId="3">[1]PR!$G$4</definedName>
    <definedName name="Salin3">PR!#REF!</definedName>
    <definedName name="Salin4">NR!#REF!</definedName>
    <definedName name="Salin5">CS!#REF!</definedName>
    <definedName name="Salin6" localSheetId="3">[1]OE!$G$4</definedName>
    <definedName name="Salin6">OE!#REF!</definedName>
    <definedName name="Salin9" localSheetId="3">[1]FA!#REF!</definedName>
    <definedName name="Salin9">FA!#REF!</definedName>
    <definedName name="Saline11" localSheetId="3">[1]AM!#REF!</definedName>
    <definedName name="Saline11">AM!#REF!</definedName>
    <definedName name="Salinity11" localSheetId="3">[1]AM!#REF!</definedName>
    <definedName name="Salinity11">AM!#REF!</definedName>
    <definedName name="Salinity2" localSheetId="3">[1]SR!$G$3</definedName>
    <definedName name="Salinity2">SR!#REF!</definedName>
    <definedName name="SalinPD" localSheetId="3">[1]PD!$G$15</definedName>
    <definedName name="SalinPD">PH!#REF!</definedName>
    <definedName name="Salmon5">CS!#REF!</definedName>
    <definedName name="SalmonShedPS">#REF!</definedName>
    <definedName name="SalmonShedPS2">#REF!</definedName>
    <definedName name="SalmoShed9">FA!#REF!</definedName>
    <definedName name="Salmoshed9v">FA!#REF!</definedName>
    <definedName name="Salt20">PH!$G$180</definedName>
    <definedName name="SatPct_S">Sen!$G$120</definedName>
    <definedName name="SatPct0">POL!#REF!</definedName>
    <definedName name="SatPct10">FR!$G$29</definedName>
    <definedName name="SatPct11">AM!$G$110</definedName>
    <definedName name="SatPct12">WBF!$G$68</definedName>
    <definedName name="SatPct13">WBN!$G$71</definedName>
    <definedName name="SatPct14">SBM!$G$115</definedName>
    <definedName name="SatPct2v">SR!$G$119</definedName>
    <definedName name="SatPct3">PR!$G$32</definedName>
    <definedName name="SatPct4">NR!$G$61</definedName>
    <definedName name="SatPct7">WC!$G$7</definedName>
    <definedName name="SatPct8">INV!$G$57</definedName>
    <definedName name="SatPct9">FA!$G$39</definedName>
    <definedName name="SatPctPD">PH!$G$97</definedName>
    <definedName name="Satur10">FR!$D$29</definedName>
    <definedName name="SAV_LT5">EC!#REF!</definedName>
    <definedName name="SAV1pd" localSheetId="3">[1]PD!$G$46</definedName>
    <definedName name="SAV1pd">PH!#REF!</definedName>
    <definedName name="sav2pd" localSheetId="3">[1]PD!$G$50</definedName>
    <definedName name="sav2pd">PH!#REF!</definedName>
    <definedName name="SAVdom1">EC!#REF!</definedName>
    <definedName name="SAVpct3" localSheetId="3">[1]PR!#REF!</definedName>
    <definedName name="SAVpct3">PR!#REF!</definedName>
    <definedName name="SAVpct5" localSheetId="3">[1]CS!#REF!</definedName>
    <definedName name="SAVpct5">CS!#REF!</definedName>
    <definedName name="SAVpctS">Sen!#REF!</definedName>
    <definedName name="SAVsens1" localSheetId="3">[1]Sen!$G$48</definedName>
    <definedName name="SAVsens1">Sen!#REF!</definedName>
    <definedName name="SAVsens1_C" localSheetId="3">[1]CQ!$G$23</definedName>
    <definedName name="SAVsens1_C">EC!#REF!</definedName>
    <definedName name="SAVsens2_C" localSheetId="3">[1]CQ!$G$27</definedName>
    <definedName name="SAVsens2_C">EC!#REF!</definedName>
    <definedName name="SAVsens2_S" localSheetId="3">[1]Sen!$G$52</definedName>
    <definedName name="SAVsens2_S">Sen!#REF!</definedName>
    <definedName name="SAVubq1">EC!#REF!</definedName>
    <definedName name="SAVubq2" localSheetId="3">[1]Sen!$G$56</definedName>
    <definedName name="SAVubq2">Sen!#REF!</definedName>
    <definedName name="SBMscore10">AM!$G$201</definedName>
    <definedName name="SBMscore9">FA!#REF!</definedName>
    <definedName name="SBMsiteS">Sen!#REF!</definedName>
    <definedName name="ScapeLU11" localSheetId="3">[1]AM!$G$180</definedName>
    <definedName name="ScapeLU11">AM!$G$25</definedName>
    <definedName name="ScapeLU14" localSheetId="3">[1]SBM!$G$139</definedName>
    <definedName name="ScapeLU14">SBM!$G$32</definedName>
    <definedName name="SciUse" localSheetId="3">[1]PU!$G$20</definedName>
    <definedName name="SciUse">PU!$G$26</definedName>
    <definedName name="ScorePLDf">PH!$G$197</definedName>
    <definedName name="ScorePOLf" localSheetId="3">[1]PD!$G$199</definedName>
    <definedName name="ScorePOLf">PH!$G$187</definedName>
    <definedName name="ScoreSBM">PH!$G$188</definedName>
    <definedName name="ScoreSBMf" localSheetId="3">[1]PD!$G$201</definedName>
    <definedName name="ScoreSBMf">PH!#REF!</definedName>
    <definedName name="ScoreSubsis">PH!#REF!</definedName>
    <definedName name="ScoreWBFf" localSheetId="3">[1]PD!$G$200</definedName>
    <definedName name="ScoreWBFf">PH!#REF!</definedName>
    <definedName name="Scum15" localSheetId="3">[1]CQ!$G$20</definedName>
    <definedName name="Scum15">EC!#REF!</definedName>
    <definedName name="Scum3" localSheetId="3">[1]PR!$G$74</definedName>
    <definedName name="Scum3">PR!#REF!</definedName>
    <definedName name="Scum9" localSheetId="3">[1]FA!$G$91</definedName>
    <definedName name="Scum9">FA!#REF!</definedName>
    <definedName name="SeasPct1" localSheetId="3">[1]WS!$G$36</definedName>
    <definedName name="SeasPct1">WS!$G$30</definedName>
    <definedName name="SeasPct2" localSheetId="3">[1]SR!$G$24</definedName>
    <definedName name="SeasPct2">SR!$G$25</definedName>
    <definedName name="SeasPct8" localSheetId="3">[1]INV!$G$37</definedName>
    <definedName name="SeasPct8">INV!$G$70</definedName>
    <definedName name="SeasTime1" localSheetId="3">[1]WS!#REF!</definedName>
    <definedName name="SeasTime1">WS!#REF!</definedName>
    <definedName name="SeasTime11" localSheetId="3">[1]AM!$G$33</definedName>
    <definedName name="SeasTime11">AM!#REF!</definedName>
    <definedName name="SeasTime13" localSheetId="3">[1]WBN!#REF!</definedName>
    <definedName name="SeasTime13">WBN!#REF!</definedName>
    <definedName name="SeasTime8" localSheetId="3">[1]INV!$G$43</definedName>
    <definedName name="SeasTime8">INV!#REF!</definedName>
    <definedName name="SeasTimeV1" localSheetId="3">[1]WS!#REF!</definedName>
    <definedName name="SeasTimeV1">WS!#REF!</definedName>
    <definedName name="SeasTiming10" localSheetId="3">[1]FR!$G$44</definedName>
    <definedName name="SeasTiming10">FR!#REF!</definedName>
    <definedName name="SeasTiming9">FA!#REF!</definedName>
    <definedName name="SeasW_S" localSheetId="3">[1]Sen!$G$12</definedName>
    <definedName name="SeasW_S">Sen!#REF!</definedName>
    <definedName name="SeasWpct11" localSheetId="3">[1]AM!$G$27</definedName>
    <definedName name="SeasWpct11">AM!#REF!</definedName>
    <definedName name="SeasWpct12" localSheetId="3">[1]WBF!$G$24</definedName>
    <definedName name="SeasWpct12">WBF!$G$81</definedName>
    <definedName name="SeasWpct13">WBN!$G$84</definedName>
    <definedName name="SeasWpct3" localSheetId="3">[1]PR!#REF!</definedName>
    <definedName name="SeasWpct3">PR!#REF!</definedName>
    <definedName name="SeasWpct4" localSheetId="3">[1]NR!$G$31</definedName>
    <definedName name="SeasWpct4">NR!$G$74</definedName>
    <definedName name="SeasWpct5" localSheetId="3">[1]CS!$G$35</definedName>
    <definedName name="SeasWpct5">CS!$G$44</definedName>
    <definedName name="SeasWpct6" localSheetId="3">[1]OE!$G$36</definedName>
    <definedName name="SeasWpct6">OE!$G$35</definedName>
    <definedName name="SeasWpct9" localSheetId="3">[1]FA!$G$28</definedName>
    <definedName name="SeasWpct9">FA!$G$58</definedName>
    <definedName name="SeasWpctPD">PH!$G$104</definedName>
    <definedName name="SedCA8">INV!$D$138</definedName>
    <definedName name="SedCA8a">INV!$G$138</definedName>
    <definedName name="SedDep20">PH!$G$181</definedName>
    <definedName name="SedDisturb20">PH!$G$182</definedName>
    <definedName name="SedExcess10">FR!$G$103</definedName>
    <definedName name="Sedge5">CS!$G$33</definedName>
    <definedName name="SedIn10">FR!#REF!</definedName>
    <definedName name="SedIn2" localSheetId="3">[1]SR!$G$102</definedName>
    <definedName name="SedIn2">SR!#REF!</definedName>
    <definedName name="SedIn20">PH!#REF!</definedName>
    <definedName name="SedIn8" localSheetId="3">[1]INV!$G$140</definedName>
    <definedName name="SedIn8">INV!#REF!</definedName>
    <definedName name="SedIn9" localSheetId="3">[1]FA!$G$119</definedName>
    <definedName name="SedIn9">FA!$G$120</definedName>
    <definedName name="SedLoad" localSheetId="3">[1]STR!$G$7</definedName>
    <definedName name="SedLoad">STR!$G$78</definedName>
    <definedName name="SENS1" localSheetId="3">[1]Sen!$G$186</definedName>
    <definedName name="SENS1">Sen!#REF!</definedName>
    <definedName name="SENS2" localSheetId="3">[1]Sen!$G$187</definedName>
    <definedName name="SENS2">Sen!#REF!</definedName>
    <definedName name="SENS3" localSheetId="3">[1]Sen!$G$188</definedName>
    <definedName name="SENS3">Sen!#REF!</definedName>
    <definedName name="SENS4" localSheetId="3">[1]Sen!$G$189</definedName>
    <definedName name="SENS4">Sen!#REF!</definedName>
    <definedName name="SENS5">Sen!#REF!</definedName>
    <definedName name="Shade10">FR!#REF!</definedName>
    <definedName name="Shade7" localSheetId="3">[1]T!$G$29</definedName>
    <definedName name="Shade7">WC!$G$14</definedName>
    <definedName name="Shade7w">#REF!</definedName>
    <definedName name="Shade9" localSheetId="3">[1]FA!$G$70</definedName>
    <definedName name="Shade9">FA!$G$52</definedName>
    <definedName name="ShadeIn7">WC!$G$61</definedName>
    <definedName name="ShedPos">OF!$D$97</definedName>
    <definedName name="ShedPos_S" localSheetId="3">[1]Sen!$G$170</definedName>
    <definedName name="ShedPos_S">Sen!#REF!</definedName>
    <definedName name="ShedPos1" localSheetId="3">[1]WS!$G$75</definedName>
    <definedName name="ShedPos1">WS!$G$79</definedName>
    <definedName name="ShedPos2">SFS!$G$37</definedName>
    <definedName name="ShedPos4" localSheetId="3">[1]NR!$G$107</definedName>
    <definedName name="ShedPos4">NR!#REF!</definedName>
    <definedName name="ShedPos7">WC!$G$44</definedName>
    <definedName name="ShedWet2" localSheetId="3">[1]SR!$G$81</definedName>
    <definedName name="ShedWet2">SR!#REF!</definedName>
    <definedName name="Shoal2" localSheetId="3">[1]SR!$G$150</definedName>
    <definedName name="Shoal2">SR!#REF!</definedName>
    <definedName name="Shoaling" localSheetId="3">#REF!</definedName>
    <definedName name="Shoaling">#REF!</definedName>
    <definedName name="ShoalSS">SR!#REF!</definedName>
    <definedName name="ShoreSlope11" localSheetId="3">[1]AM!$G$60</definedName>
    <definedName name="ShoreSlope13">WBN!$G$126</definedName>
    <definedName name="ShrubDiv0">POL!$G$24</definedName>
    <definedName name="ShrubDiv14">SBM!$G$70</definedName>
    <definedName name="ShrubPattS">Sen!$G$87</definedName>
    <definedName name="ShrubSens1" localSheetId="3">[1]Sen!$G$80</definedName>
    <definedName name="ShrubSens1_C" localSheetId="3">[1]CQ!$G$55</definedName>
    <definedName name="ShrubSens1_S" localSheetId="3">[1]Sen!#REF!</definedName>
    <definedName name="ShrubSun11">AM!$G$104</definedName>
    <definedName name="Size_S" localSheetId="3">[1]Sen!$G$163</definedName>
    <definedName name="Size_S">Sen!#REF!</definedName>
    <definedName name="Size0" localSheetId="3">[1]POL!$G$95</definedName>
    <definedName name="Size0">POL!#REF!</definedName>
    <definedName name="Size12" localSheetId="3">[1]WBF!$G$145</definedName>
    <definedName name="Size12">WBF!#REF!</definedName>
    <definedName name="Size13" localSheetId="3">[1]WBN!$G$166</definedName>
    <definedName name="Size13">WBN!#REF!</definedName>
    <definedName name="Size14" localSheetId="3">[1]SBM!$G$173</definedName>
    <definedName name="Size14">SBM!#REF!</definedName>
    <definedName name="SizeHerbac13">WBN!$G$3</definedName>
    <definedName name="SizeHerbac14">SBM!$G$3</definedName>
    <definedName name="SizePD">PH!$G$3</definedName>
    <definedName name="SizeVegConnec15">PH!$G$10</definedName>
    <definedName name="SlidePD">PH!#REF!</definedName>
    <definedName name="SlopeUnif2" localSheetId="3">[1]SR!#REF!</definedName>
    <definedName name="SlopeUnif2">SR!#REF!</definedName>
    <definedName name="SlopeUnif3" localSheetId="3">[1]PR!#REF!</definedName>
    <definedName name="SnagB13">WBN!$G$59</definedName>
    <definedName name="SnagD14">SBM!$G$89</definedName>
    <definedName name="Snags0">POL!$G$36</definedName>
    <definedName name="Snow1">WS!#REF!</definedName>
    <definedName name="Snow10">FR!#REF!</definedName>
    <definedName name="Snow11">AM!#REF!</definedName>
    <definedName name="Snow12">WBF!#REF!</definedName>
    <definedName name="Snow1a">WS!#REF!</definedName>
    <definedName name="Snow2">SR!#REF!</definedName>
    <definedName name="Snow2_">SFS!#REF!</definedName>
    <definedName name="Snow2a">SFS!#REF!</definedName>
    <definedName name="Snow3">PR!#REF!</definedName>
    <definedName name="Snow4">NR!#REF!</definedName>
    <definedName name="Snow5">CS!#REF!</definedName>
    <definedName name="Snow6">OE!#REF!</definedName>
    <definedName name="SnowPD">PH!#REF!</definedName>
    <definedName name="Snows">Sen!#REF!</definedName>
    <definedName name="Snows_S">Sen!#REF!</definedName>
    <definedName name="Snows_S2">Sen!#REF!</definedName>
    <definedName name="Soil2_">SFS!$G$14</definedName>
    <definedName name="SoilDisturb" localSheetId="3">[1]STR!$G$8</definedName>
    <definedName name="SoilDisturb">STR!$G$79</definedName>
    <definedName name="soildisturb0" localSheetId="3">[1]POL!$G$102</definedName>
    <definedName name="soildisturb0">POL!#REF!</definedName>
    <definedName name="SoilDisturb11" localSheetId="3">[1]AM!$G$224</definedName>
    <definedName name="SoilDisturb11">AM!#REF!</definedName>
    <definedName name="SoilDisturb15" localSheetId="3">[1]PD!$D$171</definedName>
    <definedName name="SoilDisturb15">PH!$D$182</definedName>
    <definedName name="SoilDisturb3">SR!$G$94</definedName>
    <definedName name="SoilDisturb4" localSheetId="3">[1]NR!$G$104</definedName>
    <definedName name="SoilDisturb4">NR!$G$146</definedName>
    <definedName name="SoilDisturb5" localSheetId="3">[1]CS!$G$136</definedName>
    <definedName name="SoilDisturb5">CS!$G$113</definedName>
    <definedName name="SoilDisturb6" localSheetId="3">[1]OE!$G$115</definedName>
    <definedName name="SoilDisturb6">OE!#REF!</definedName>
    <definedName name="SoilDisturb8" localSheetId="3">[1]INV!$G$141</definedName>
    <definedName name="SoilDisturb8">INV!$D$139</definedName>
    <definedName name="SoilDisturb8a">INV!$G$139</definedName>
    <definedName name="SoilTex_S" localSheetId="3">[1]Sen!$G$110</definedName>
    <definedName name="SoilTex_S">Sen!$G$105</definedName>
    <definedName name="SoilTex1">WS!$G$24</definedName>
    <definedName name="SoilTex3" localSheetId="3">[1]PR!$G$86</definedName>
    <definedName name="SoilTex3">PR!$G$25</definedName>
    <definedName name="SoilTex4" localSheetId="3">[1]NR!$G$87</definedName>
    <definedName name="SoilTex4">NR!$G$55</definedName>
    <definedName name="SoilTex5" localSheetId="3">[1]CS!$G$112</definedName>
    <definedName name="SoilTex5">CS!$G$27</definedName>
    <definedName name="SoilTex6">OE!$G$29</definedName>
    <definedName name="SoilTex8" localSheetId="3">[1]INV!#REF!</definedName>
    <definedName name="SoilTex8">INV!#REF!</definedName>
    <definedName name="SoilTexPD" localSheetId="3">[1]PD!$G$95</definedName>
    <definedName name="SoilTexPD">PH!$G$77</definedName>
    <definedName name="SolarHeat">WC!#REF!</definedName>
    <definedName name="SolarHeatWarming">#REF!</definedName>
    <definedName name="SongbMam" localSheetId="3">[1]INV!$G$164</definedName>
    <definedName name="SongbMam">INV!$G$146</definedName>
    <definedName name="SPA">PU!#REF!</definedName>
    <definedName name="SppArea">PH!$G$190</definedName>
    <definedName name="SpPatch14" localSheetId="3">[1]SBM!#REF!</definedName>
    <definedName name="SpPatch14">SBM!#REF!</definedName>
    <definedName name="SpPatchy8" localSheetId="3">[1]INV!#REF!</definedName>
    <definedName name="SpPatchy8">INV!#REF!</definedName>
    <definedName name="SStorage2">SFS!$G$43</definedName>
    <definedName name="SSubq2" localSheetId="3">[1]Sen!$G$89</definedName>
    <definedName name="SSubq2">Sen!#REF!</definedName>
    <definedName name="Stain3">PR!$G$92</definedName>
    <definedName name="Stained6">OE!#REF!</definedName>
    <definedName name="Steep1">WS!$D$69</definedName>
    <definedName name="Steep13" localSheetId="3">[1]WBN!$D$109</definedName>
    <definedName name="Steep13">WBN!$D$151</definedName>
    <definedName name="Steep1ws">WS!$D$69</definedName>
    <definedName name="Steep2ws">WS!$D$70</definedName>
    <definedName name="StrataDiv">EC!#REF!</definedName>
    <definedName name="StreamInGrad3">PR!#REF!</definedName>
    <definedName name="Stress0">POL!$G$91</definedName>
    <definedName name="Stress10">FR!$G$132</definedName>
    <definedName name="Stress11">AM!$G$209</definedName>
    <definedName name="Stress12">WBF!$G$169</definedName>
    <definedName name="Stress13">WBN!#REF!</definedName>
    <definedName name="Stress14">SBM!$G$184</definedName>
    <definedName name="Stress9">FA!$G$149</definedName>
    <definedName name="Stressors13">WBN!$G$194</definedName>
    <definedName name="Stressors8">INV!$G$153</definedName>
    <definedName name="StressPD">PH!$G$195</definedName>
    <definedName name="struc0" localSheetId="3">[1]POL!#REF!</definedName>
    <definedName name="struc0">POL!#REF!</definedName>
    <definedName name="Struc10">FR!$G$129</definedName>
    <definedName name="Struc11">AM!$G$204</definedName>
    <definedName name="Struc12">WBF!$G$166</definedName>
    <definedName name="Struc13">WBN!$G$191</definedName>
    <definedName name="Struc14" localSheetId="3">[1]SBM!$D$77</definedName>
    <definedName name="Struc14">SBM!#REF!</definedName>
    <definedName name="Struc9">FA!$G$146</definedName>
    <definedName name="StrucA">SBM!$G$179</definedName>
    <definedName name="StrucB">SBM!$G$180</definedName>
    <definedName name="Structure8">INV!$G$148</definedName>
    <definedName name="Subsist">#REF!</definedName>
    <definedName name="Subsist10">FR!#REF!</definedName>
    <definedName name="Subsist9">FA!#REF!</definedName>
    <definedName name="Subsurf">WS!$G$89</definedName>
    <definedName name="Subtypes8">INV!$G$23</definedName>
    <definedName name="Sustain">Sen!#REF!</definedName>
    <definedName name="Sustain1" localSheetId="3">[1]WS!$G$106</definedName>
    <definedName name="Sustain1">WS!#REF!</definedName>
    <definedName name="Sustain11" localSheetId="3">[1]AM!$G$244</definedName>
    <definedName name="Sustain11">AM!#REF!</definedName>
    <definedName name="Sustain12" localSheetId="3">[1]WBF!$G$181</definedName>
    <definedName name="Sustain12">WBF!#REF!</definedName>
    <definedName name="Sustain13" localSheetId="3">[1]WBN!$G$211</definedName>
    <definedName name="Sustain13">WBN!#REF!</definedName>
    <definedName name="sustain14" localSheetId="3">[1]SBM!$G$211</definedName>
    <definedName name="sustain14">SBM!#REF!</definedName>
    <definedName name="Sustain2" localSheetId="3">[1]SR!$G$160</definedName>
    <definedName name="Sustain2">SR!#REF!</definedName>
    <definedName name="Sustain3" localSheetId="3">[1]PR!$G$156</definedName>
    <definedName name="Sustain3">PR!#REF!</definedName>
    <definedName name="Sustain4" localSheetId="3">[1]NR!$G$161</definedName>
    <definedName name="Sustain4">NR!#REF!</definedName>
    <definedName name="sustain8" localSheetId="3">[1]INV!$G$155</definedName>
    <definedName name="sustain8">INV!#REF!</definedName>
    <definedName name="SustainPD" localSheetId="3">[1]PD!$G$195</definedName>
    <definedName name="SustainPD">PH!#REF!</definedName>
    <definedName name="SWOpd">PH!$D$97</definedName>
    <definedName name="System" localSheetId="3">#REF!</definedName>
    <definedName name="System">#REF!</definedName>
    <definedName name="TEknown" localSheetId="3">#REF!</definedName>
    <definedName name="TEknown">#REF!</definedName>
    <definedName name="Temp7w">#REF!</definedName>
    <definedName name="TEpredicted" localSheetId="3">#REF!</definedName>
    <definedName name="TEpredicted">#REF!</definedName>
    <definedName name="TerrFertilPD">PH!$G$193</definedName>
    <definedName name="TerrStruc11">AM!$G$205</definedName>
    <definedName name="TEST1">S!#REF!</definedName>
    <definedName name="TEST10">S!#REF!</definedName>
    <definedName name="TEST11">S!#REF!</definedName>
    <definedName name="TEST12">S!#REF!</definedName>
    <definedName name="TEST13">S!#REF!</definedName>
    <definedName name="TEST14">S!#REF!</definedName>
    <definedName name="TEST15">S!#REF!</definedName>
    <definedName name="TEST18">S!#REF!</definedName>
    <definedName name="TEST19">S!#REF!</definedName>
    <definedName name="TEST2">S!#REF!</definedName>
    <definedName name="TEST20">S!#REF!</definedName>
    <definedName name="TEST21">S!#REF!</definedName>
    <definedName name="TEST3">S!#REF!</definedName>
    <definedName name="TEST4">S!#REF!</definedName>
    <definedName name="TEST5">S!#REF!</definedName>
    <definedName name="TEST6">S!#REF!</definedName>
    <definedName name="TEST7">S!#REF!</definedName>
    <definedName name="TEST8">S!#REF!</definedName>
    <definedName name="TEST9">S!#REF!</definedName>
    <definedName name="ThruFlo1" localSheetId="3">[1]WS!$G$56</definedName>
    <definedName name="ThruFlo1">WS!$G$58</definedName>
    <definedName name="ThruFlo10" localSheetId="3">[1]FR!$G$67</definedName>
    <definedName name="ThruFlo10">FR!$G$73</definedName>
    <definedName name="ThruFlo12" localSheetId="3">[1]WBF!$G$55</definedName>
    <definedName name="ThruFlo12">WBF!#REF!</definedName>
    <definedName name="ThruFlo2" localSheetId="3">[1]SR!$G$44</definedName>
    <definedName name="ThruFlo2">SR!$G$83</definedName>
    <definedName name="ThruFlo3" localSheetId="3">[1]PR!$G$61</definedName>
    <definedName name="ThruFlo3">PR!$G$86</definedName>
    <definedName name="ThruFlo4" localSheetId="3">[1]NR!$G$57</definedName>
    <definedName name="ThruFlo4">NR!$G$120</definedName>
    <definedName name="ThruFlo5" localSheetId="3">[1]CS!$G$66</definedName>
    <definedName name="ThruFlo5">CS!#REF!</definedName>
    <definedName name="ThruFlo6" localSheetId="3">[1]OE!$G$63</definedName>
    <definedName name="ThruFlo6">OE!$G$87</definedName>
    <definedName name="ThruFlo8" localSheetId="3">[1]INV!$G$69</definedName>
    <definedName name="ThruFlo8">INV!$G$113</definedName>
    <definedName name="ThruFlo9" localSheetId="3">[1]FA!$G$58</definedName>
    <definedName name="ThruFlo9">FA!$G$91</definedName>
    <definedName name="ThruFlow13" localSheetId="3">[1]WBN!$G$50</definedName>
    <definedName name="ThruFlow13">WBN!#REF!</definedName>
    <definedName name="Tidal" localSheetId="3">#REF!</definedName>
    <definedName name="Tidal">#REF!</definedName>
    <definedName name="tidal0">POL!#REF!</definedName>
    <definedName name="Tidal1" localSheetId="3">[1]WS!$D$2</definedName>
    <definedName name="Tidal1">WS!#REF!</definedName>
    <definedName name="Tidal10" localSheetId="3">[1]FR!$D$2</definedName>
    <definedName name="Tidal10">FR!#REF!</definedName>
    <definedName name="Tidal11" localSheetId="3">[1]AM!$D$2</definedName>
    <definedName name="Tidal11">AM!#REF!</definedName>
    <definedName name="Tidal12" localSheetId="3">[1]WBF!$D$2</definedName>
    <definedName name="Tidal12">WBF!#REF!</definedName>
    <definedName name="Tidal13" localSheetId="3">[1]WBN!$D$2</definedName>
    <definedName name="Tidal13">WBN!#REF!</definedName>
    <definedName name="Tidal14" localSheetId="3">[1]SBM!$D$2</definedName>
    <definedName name="Tidal14">SBM!#REF!</definedName>
    <definedName name="Tidal2" localSheetId="3">[1]SR!$D$2</definedName>
    <definedName name="Tidal2">SR!#REF!</definedName>
    <definedName name="Tidal3" localSheetId="3">[1]PR!$D$2</definedName>
    <definedName name="Tidal3">PR!#REF!</definedName>
    <definedName name="Tidal4" localSheetId="3">[1]NR!$D$2</definedName>
    <definedName name="Tidal4">NR!#REF!</definedName>
    <definedName name="Tidal5">CS!#REF!</definedName>
    <definedName name="Tidal6" localSheetId="3">[1]OE!$D$2</definedName>
    <definedName name="Tidal6">OE!#REF!</definedName>
    <definedName name="Tidal7" localSheetId="3">[1]T!$D$2</definedName>
    <definedName name="Tidal7">WC!#REF!</definedName>
    <definedName name="Tidal8" localSheetId="3">[1]INV!$D$2</definedName>
    <definedName name="Tidal8">INV!#REF!</definedName>
    <definedName name="Tidal9" localSheetId="3">[1]FA!$D$2</definedName>
    <definedName name="Tidal9">FA!#REF!</definedName>
    <definedName name="TidalNTconn13" localSheetId="3">[1]WBN!#REF!</definedName>
    <definedName name="TidalNTconn13">WBN!#REF!</definedName>
    <definedName name="TidalPD" localSheetId="3">[1]PD!$D$2</definedName>
    <definedName name="TidalPD">PH!$D$54</definedName>
    <definedName name="TidalProx_S">Sen!#REF!</definedName>
    <definedName name="TidalProx1">WS!#REF!</definedName>
    <definedName name="TidalProx10">FR!#REF!</definedName>
    <definedName name="TidalProx11">AM!#REF!</definedName>
    <definedName name="TidalProx12" localSheetId="3">[1]WBF!$G$141</definedName>
    <definedName name="TidalProx12">WBF!$G$25</definedName>
    <definedName name="TidalProx13">WBN!#REF!</definedName>
    <definedName name="TidalProx14">SBM!#REF!</definedName>
    <definedName name="TidalProx3">PR!#REF!</definedName>
    <definedName name="TidalProx4">NR!#REF!</definedName>
    <definedName name="TidalProx5" localSheetId="3">[1]CS!$G$131</definedName>
    <definedName name="TidalProx5">CS!#REF!</definedName>
    <definedName name="TidalProx6">OE!#REF!</definedName>
    <definedName name="TidalProx8">INV!$G$3</definedName>
    <definedName name="TidalProx9">FA!$G$3</definedName>
    <definedName name="TidalProxPD">PH!#REF!</definedName>
    <definedName name="TidalProxPU">PU!$G$16</definedName>
    <definedName name="TidalProxS">#REF!</definedName>
    <definedName name="TidalW" localSheetId="3">#REF!</definedName>
    <definedName name="TidalW">#REF!</definedName>
    <definedName name="TideProx2">SR!#REF!</definedName>
    <definedName name="TideProx7">#REF!</definedName>
    <definedName name="TnonTconn10">FR!#REF!</definedName>
    <definedName name="TnonTpd" localSheetId="3">[1]PD!$G$9</definedName>
    <definedName name="TnonTpd">PH!#REF!</definedName>
    <definedName name="TooSmall">F!$D$152</definedName>
    <definedName name="TooSteep">F!$D$245</definedName>
    <definedName name="TooSteep12" localSheetId="3">[1]WBF!$D$97</definedName>
    <definedName name="TooSteep12">WBF!$D$124</definedName>
    <definedName name="TooSteep13">WBN!$D$154</definedName>
    <definedName name="ToxData10">FR!$G$3</definedName>
    <definedName name="ToxData2">SR!$G$101</definedName>
    <definedName name="ToxData9">FA!$G$11</definedName>
    <definedName name="Toxic" localSheetId="3">[1]STR!$G$6</definedName>
    <definedName name="Toxic">STR!$G$76</definedName>
    <definedName name="Toxic0">POL!$G$83</definedName>
    <definedName name="Toxic11">AM!$G$44</definedName>
    <definedName name="ToxicData">STR!$G$17</definedName>
    <definedName name="ToxicIn11">AM!$G$187</definedName>
    <definedName name="ToxicIn9">FA!$G$119</definedName>
    <definedName name="toxics13" localSheetId="3">[1]WBN!$G$186</definedName>
    <definedName name="toxics13">WBN!$G$32</definedName>
    <definedName name="ToxOnsite">STR!$D$18</definedName>
    <definedName name="ToxUp2">SR!$G$96</definedName>
    <definedName name="TprobUp" localSheetId="3">[1]T!$D$39</definedName>
    <definedName name="TprobUp">WC!#REF!</definedName>
    <definedName name="Transport1" localSheetId="3">[1]WS!$G$92</definedName>
    <definedName name="Transport1">WS!$G$84</definedName>
    <definedName name="Transport3" localSheetId="3">[1]PR!$G$124</definedName>
    <definedName name="Transport3">PR!$G$122</definedName>
    <definedName name="Transport4" localSheetId="3">[1]NR!$G$124</definedName>
    <definedName name="Transport4">NR!$G$181</definedName>
    <definedName name="TransportSS" localSheetId="3">[1]SR!$G$98</definedName>
    <definedName name="TransportSS">SR!$G$115</definedName>
    <definedName name="TreeCanop4">NR!$G$35</definedName>
    <definedName name="TreeCovS">Sen!$G$74</definedName>
    <definedName name="TreeDBHs">Sen!$G$75</definedName>
    <definedName name="TreeForm13">WBN!$G$50</definedName>
    <definedName name="TreeForm5" localSheetId="3">[1]CS!$G$88</definedName>
    <definedName name="TreeForm5">CS!$G$12</definedName>
    <definedName name="TreeForm6" localSheetId="3">[1]OE!#REF!</definedName>
    <definedName name="TreeForm6">OE!#REF!</definedName>
    <definedName name="TreeFrag_S" localSheetId="3">[1]Sen!#REF!</definedName>
    <definedName name="TreeFrag_S">Sen!#REF!</definedName>
    <definedName name="TreeFrag14" localSheetId="3">[1]SBM!#REF!</definedName>
    <definedName name="TreeFrag14">SBM!#REF!</definedName>
    <definedName name="Trees13">WBN!$G$50</definedName>
    <definedName name="TreeTyp13">WBN!$G$50</definedName>
    <definedName name="TreeTypes14" localSheetId="3">[1]SBM!$G$41</definedName>
    <definedName name="TreeTypes14">SBM!$G$73</definedName>
    <definedName name="TreeVar11" localSheetId="3">[1]AM!$G$80</definedName>
    <definedName name="TreeVar11">AM!$G$72</definedName>
    <definedName name="TreeVar8" localSheetId="3">[1]INV!#REF!</definedName>
    <definedName name="TreeVar8">INV!#REF!</definedName>
    <definedName name="TurbExceed">SR!#REF!</definedName>
    <definedName name="TurbExceedSS">SR!#REF!</definedName>
    <definedName name="Turbid15" localSheetId="3">[1]PD!$D$170</definedName>
    <definedName name="Turbid15">PH!#REF!</definedName>
    <definedName name="TurbUp2" localSheetId="3">[1]SR!$D$109</definedName>
    <definedName name="TurbUp2">SR!#REF!</definedName>
    <definedName name="Unbrow">SBM!#REF!</definedName>
    <definedName name="Unbrowsed">PH!#REF!</definedName>
    <definedName name="Undercut10" localSheetId="3">[1]FR!$G$73</definedName>
    <definedName name="Undercut10">FR!#REF!</definedName>
    <definedName name="Undercut11" localSheetId="3">[1]AM!$G$54</definedName>
    <definedName name="Undercut11">AM!#REF!</definedName>
    <definedName name="Undercut2" localSheetId="3">[1]SR!$G$139</definedName>
    <definedName name="Undercut2">SR!#REF!</definedName>
    <definedName name="Undercut9" localSheetId="3">[1]FA!$G$64</definedName>
    <definedName name="Undercut9">FA!#REF!</definedName>
    <definedName name="Unif1" localSheetId="3">[1]WS!#REF!</definedName>
    <definedName name="Unif1">WS!#REF!</definedName>
    <definedName name="Unif11" localSheetId="3">[1]AM!#REF!</definedName>
    <definedName name="Unif11">AM!#REF!</definedName>
    <definedName name="Unif14">SBM!$G$152</definedName>
    <definedName name="UniPatch8">INV!#REF!</definedName>
    <definedName name="UniqPatch">WBF!#REF!</definedName>
    <definedName name="UniqPatch11" localSheetId="3">[1]AM!$G$228</definedName>
    <definedName name="UniqPatch11">AM!#REF!</definedName>
    <definedName name="UniqPatch12">WBF!#REF!</definedName>
    <definedName name="UniqPatch12a">WBF!#REF!</definedName>
    <definedName name="UniqPatch13">WBN!#REF!</definedName>
    <definedName name="UniqPatch14">SBM!#REF!</definedName>
    <definedName name="UniqPatchPD" localSheetId="3">[1]PD!$G$174</definedName>
    <definedName name="UniqPatchPD">PH!#REF!</definedName>
    <definedName name="UniqVegF">Sen!#REF!</definedName>
    <definedName name="Unprotec">STR!#REF!</definedName>
    <definedName name="UpEdge_S">Sen!$G$48</definedName>
    <definedName name="UpEdge14" localSheetId="3">[1]SBM!$G$62</definedName>
    <definedName name="UpEdge14">SBM!$G$57</definedName>
    <definedName name="UpEdgeShape4" localSheetId="3">[1]NR!$G$80</definedName>
    <definedName name="UpEdgeShape4">NR!$G$3</definedName>
    <definedName name="UpErodible" localSheetId="3">#REF!</definedName>
    <definedName name="UpErodible">#REF!</definedName>
    <definedName name="UpExceed2">SR!#REF!</definedName>
    <definedName name="UpExceedDist" localSheetId="3">#REF!</definedName>
    <definedName name="UpExceedDist">#REF!</definedName>
    <definedName name="UpNitrate" localSheetId="3">#REF!</definedName>
    <definedName name="UpNitrate">#REF!</definedName>
    <definedName name="UpPhos" localSheetId="3">#REF!</definedName>
    <definedName name="UpPhos">#REF!</definedName>
    <definedName name="UpPollute" localSheetId="3">#REF!</definedName>
    <definedName name="UpPollute">#REF!</definedName>
    <definedName name="UpStorage" localSheetId="3">#REF!</definedName>
    <definedName name="UpStorage">#REF!</definedName>
    <definedName name="UpStore1" localSheetId="3">[1]WS!$G$88</definedName>
    <definedName name="UpStore1">WS!#REF!</definedName>
    <definedName name="UpStore3" localSheetId="3">[1]PR!$G$120</definedName>
    <definedName name="UpStore3">PR!#REF!</definedName>
    <definedName name="UpStore4" localSheetId="3">[1]NR!$G$120</definedName>
    <definedName name="UpStore4">NR!#REF!</definedName>
    <definedName name="UpStoreSS" localSheetId="3">[1]SR!$G$94</definedName>
    <definedName name="UpStoreSS">SR!#REF!</definedName>
    <definedName name="UpThermo" localSheetId="3">#REF!</definedName>
    <definedName name="UpThermo">#REF!</definedName>
    <definedName name="UpTransport" localSheetId="3">#REF!</definedName>
    <definedName name="UpTransport">#REF!</definedName>
    <definedName name="UpTurbid" localSheetId="3">#REF!</definedName>
    <definedName name="UpTurbid">#REF!</definedName>
    <definedName name="UpWQdis2" localSheetId="3">[1]SR!#REF!</definedName>
    <definedName name="UpWQdis2">SR!#REF!</definedName>
    <definedName name="VegClear" localSheetId="3">[1]STR!$G$9</definedName>
    <definedName name="VegClear">STR!#REF!</definedName>
    <definedName name="VegGap11" localSheetId="3">[1]AM!#REF!</definedName>
    <definedName name="VegGap11">AM!#REF!</definedName>
    <definedName name="VegGap14" localSheetId="3">[1]SBM!$G$54</definedName>
    <definedName name="VegGap14">SBM!#REF!</definedName>
    <definedName name="VegGaps8" localSheetId="3">[1]INV!$G$100</definedName>
    <definedName name="VegGaps8">INV!#REF!</definedName>
    <definedName name="VegPct5k15">PH!$G$26</definedName>
    <definedName name="VegPctScape_S">Sen!$G$26</definedName>
    <definedName name="VegWabs3" localSheetId="3">[1]PR!$G$67</definedName>
    <definedName name="VegWabs3">PR!$G$64</definedName>
    <definedName name="VegWrel3" localSheetId="3">[1]PR!$G$147</definedName>
    <definedName name="VegWrel3">PR!#REF!</definedName>
    <definedName name="Visib12">WBF!$G$159</definedName>
    <definedName name="Visibility" localSheetId="3">[1]PU!$G$2</definedName>
    <definedName name="Visibility">PU!$G$33</definedName>
    <definedName name="VisibWet">STR!$G$54</definedName>
    <definedName name="Vremove6" localSheetId="3">[1]OE!$G$116</definedName>
    <definedName name="Vremove6">OE!#REF!</definedName>
    <definedName name="VscoreSRM">SBM!$G$187</definedName>
    <definedName name="VscoreWBF">WBF!$G$172</definedName>
    <definedName name="VscoreWBN">WBN!$G$198</definedName>
    <definedName name="Vwidth11">AM!$G$142</definedName>
    <definedName name="Vwidth14">SBM!$G$128</definedName>
    <definedName name="VwidthAbs_S" localSheetId="3">[1]Sen!$G$40</definedName>
    <definedName name="VwidthAbs_S">Sen!$G$139</definedName>
    <definedName name="VwidthAbs13" localSheetId="3">[1]WBN!$G$56</definedName>
    <definedName name="VwidthAbs13">WBN!$G$119</definedName>
    <definedName name="VwidthAbs4" localSheetId="3">[1]NR!$G$63</definedName>
    <definedName name="VwidthAbs4">NR!$G$99</definedName>
    <definedName name="VwidthAbs5" localSheetId="3">[1]CS!$G$75</definedName>
    <definedName name="VwidthAbs5">CS!$G$75</definedName>
    <definedName name="VwidthAbs6" localSheetId="3">[1]OE!$G$72</definedName>
    <definedName name="VwidthAbs6">OE!$G$66</definedName>
    <definedName name="VwidthRel_S" localSheetId="3">[1]Sen!$G$37</definedName>
    <definedName name="VwidthRel_S">Sen!#REF!</definedName>
    <definedName name="VwidthRel4" localSheetId="3">[1]NR!$G$148</definedName>
    <definedName name="VwidthRel4">NR!#REF!</definedName>
    <definedName name="VwidthRel5" localSheetId="3">[1]CS!$G$72</definedName>
    <definedName name="VwidthRel5">CS!#REF!</definedName>
    <definedName name="VwidthRel6" localSheetId="3">[1]OE!$G$69</definedName>
    <definedName name="VwidthRel6">OE!#REF!</definedName>
    <definedName name="WarmInflo7">WC!$D$61</definedName>
    <definedName name="Warmth1">WS!$G$19</definedName>
    <definedName name="warmth10">FR!$G$8</definedName>
    <definedName name="warmth12">WBF!$G$37</definedName>
    <definedName name="Warmth2">SR!$G$15</definedName>
    <definedName name="Warmth3">PR!$G$15</definedName>
    <definedName name="Warmth4">NR!$G$26</definedName>
    <definedName name="Warmth5">CS!$G$3</definedName>
    <definedName name="Warmth6">OE!$G$10</definedName>
    <definedName name="Warmth7">WC!$G$53</definedName>
    <definedName name="warmth8">INV!$G$14</definedName>
    <definedName name="WatEdgeSlope2">SR!$G$63</definedName>
    <definedName name="Water0">POL!#REF!</definedName>
    <definedName name="Water10">FR!$D$29</definedName>
    <definedName name="Water11">AM!$D$110</definedName>
    <definedName name="Water12">WBF!$D$68</definedName>
    <definedName name="Water13">WBN!$D$71</definedName>
    <definedName name="Water14">SBM!$D$115</definedName>
    <definedName name="Water15">PH!$D$97</definedName>
    <definedName name="Water1a">WS!#REF!</definedName>
    <definedName name="Water2">SFS!#REF!</definedName>
    <definedName name="Water2a">SR!#REF!</definedName>
    <definedName name="Water3">PR!$D$32</definedName>
    <definedName name="Water4">NR!$D$61</definedName>
    <definedName name="Water7">WC!$D$7</definedName>
    <definedName name="Water7w">#REF!</definedName>
    <definedName name="Water8">INV!$D$57</definedName>
    <definedName name="Water9">FA!$D$39</definedName>
    <definedName name="Waterscape11">AM!$G$208</definedName>
    <definedName name="Wave2" localSheetId="3">[1]SR!$G$146</definedName>
    <definedName name="Wave2">SR!#REF!</definedName>
    <definedName name="Waves" localSheetId="3">[1]STR!$G$15</definedName>
    <definedName name="Waves">STR!#REF!</definedName>
    <definedName name="Waves15" localSheetId="3">[1]PD!$G$105</definedName>
    <definedName name="Waves15">PH!#REF!</definedName>
    <definedName name="WBFscore10">AM!$G$200</definedName>
    <definedName name="WBFscores" localSheetId="3">[1]FR!$D$112</definedName>
    <definedName name="WBFscores">FR!$D$126</definedName>
    <definedName name="WBFsiteS">Sen!#REF!</definedName>
    <definedName name="WbirdF" localSheetId="3">[1]INV!$G$162</definedName>
    <definedName name="WbirdF">INV!$G$144</definedName>
    <definedName name="WbirdFeed" localSheetId="3">[1]FA!$G$124</definedName>
    <definedName name="WbirdFeed">FA!$G$143</definedName>
    <definedName name="WbirdFeed10">FR!$G$126</definedName>
    <definedName name="WbirdNest" localSheetId="3">[1]INV!$G$163</definedName>
    <definedName name="WbirdNest">INV!$G$145</definedName>
    <definedName name="WBN4a">WBN!#REF!</definedName>
    <definedName name="WBNsiteS">Sen!$G$61</definedName>
    <definedName name="WeedSource" localSheetId="3">[1]STR!$G$35</definedName>
    <definedName name="WeedSource">STR!$G$31</definedName>
    <definedName name="WeedSourcePD" localSheetId="3">[1]PD!$G$130</definedName>
    <definedName name="WeedSourcePD">PH!$G$92</definedName>
    <definedName name="WellWater" localSheetId="3">#REF!</definedName>
    <definedName name="WellWater">#REF!</definedName>
    <definedName name="WetDistrib13" localSheetId="3">[1]WBN!#REF!</definedName>
    <definedName name="WetDistrib13">WBN!#REF!</definedName>
    <definedName name="WetIntercept">SR!$G$149</definedName>
    <definedName name="WetPct0">POL!#REF!</definedName>
    <definedName name="WetPctCA2">SR!$G$3</definedName>
    <definedName name="WetPctCA4">NR!$G$10</definedName>
    <definedName name="WetSize_S">Sen!$G$3</definedName>
    <definedName name="Wetter" localSheetId="3">[1]STR!$G$2</definedName>
    <definedName name="Wetter">STR!#REF!</definedName>
    <definedName name="wetter1">WS!#REF!</definedName>
    <definedName name="Wetter5">CS!#REF!</definedName>
    <definedName name="WetterEx">STR!#REF!</definedName>
    <definedName name="Wettype10">FR!$G$15</definedName>
    <definedName name="Wettype11">AM!$G$60</definedName>
    <definedName name="Wettype12">WBF!$G$43</definedName>
    <definedName name="Wettype13">WBN!$G$43</definedName>
    <definedName name="Wettype2">SFS!$G$7</definedName>
    <definedName name="Wettype4">NR!$G$27</definedName>
    <definedName name="Wettype5">CS!$G$4</definedName>
    <definedName name="Wettype6">OE!$G$11</definedName>
    <definedName name="Wettype8">INV!$G$16</definedName>
    <definedName name="Wettype9">FA!$G$26</definedName>
    <definedName name="WetTypeDiv11">AM!$G$67</definedName>
    <definedName name="WetTypeDiv12">WBF!$G$50</definedName>
    <definedName name="WetTypeDiv14">SBM!$G$64</definedName>
    <definedName name="WettypePD">PH!#REF!</definedName>
    <definedName name="WettypeS">Sen!$G$67</definedName>
    <definedName name="wetuniq" localSheetId="3">[1]POL!$G$118</definedName>
    <definedName name="wetuniq">POL!#REF!</definedName>
    <definedName name="WidthAbs2" localSheetId="3">[1]SR!$G$50</definedName>
    <definedName name="WidthAbs2">SR!$G$56</definedName>
    <definedName name="WidthPD">PH!$G$122</definedName>
    <definedName name="WoodAbove10">FR!$G$63</definedName>
    <definedName name="WoodAbove11">AM!$G$153</definedName>
    <definedName name="WoodAbove12" localSheetId="3">[1]WBF!#REF!</definedName>
    <definedName name="WoodAbove12">WBF!#REF!</definedName>
    <definedName name="WoodAbove14" localSheetId="3">[1]SBM!$G$22</definedName>
    <definedName name="WoodAbove14">SBM!#REF!</definedName>
    <definedName name="WoodAbove9" localSheetId="3">[1]FA!$G$76</definedName>
    <definedName name="WoodAbove9">FA!$G$81</definedName>
    <definedName name="WoodDown11" localSheetId="3">[1]AM!$G$101</definedName>
    <definedName name="WoodDown11">AM!$G$88</definedName>
    <definedName name="WoodDown14" localSheetId="3">[1]SBM!$G$69</definedName>
    <definedName name="WoodDown14">SBM!$G$93</definedName>
    <definedName name="WoodDown8" localSheetId="3">[1]INV!$G$108</definedName>
    <definedName name="WoodDown8">INV!$G$36</definedName>
    <definedName name="WoodHerbMix11">AM!$G$81</definedName>
    <definedName name="WoodHerbMix15">PH!$G$60</definedName>
    <definedName name="WoodHerbMix8">INV!$G$29</definedName>
    <definedName name="WoodPatt14">SBM!$G$82</definedName>
    <definedName name="WoodSpDom15">PH!$G$57</definedName>
    <definedName name="WoodTypes_S" localSheetId="3">[1]Sen!#REF!</definedName>
    <definedName name="WoodTypes_S">Sen!#REF!</definedName>
    <definedName name="WoodWaterEdge7">WC!#REF!</definedName>
    <definedName name="woody">F!#REF!</definedName>
    <definedName name="Woody12">WBF!#REF!</definedName>
    <definedName name="Woody13">WBN!#REF!</definedName>
    <definedName name="Woody14" localSheetId="3">[1]SBM!$G$37</definedName>
    <definedName name="Woody14">SBM!$G$82</definedName>
    <definedName name="woodydbh0" localSheetId="3">[1]POL!$G$42</definedName>
    <definedName name="woodydbh0">POL!$G$27</definedName>
    <definedName name="WoodyEdge14" localSheetId="3">[1]SBM!$G$31</definedName>
    <definedName name="WoodyEdge14">SBM!#REF!</definedName>
    <definedName name="WoodyHtDiv14">SBM!$G$69</definedName>
    <definedName name="WoodyHtDiv15">PH!$G$55</definedName>
    <definedName name="WoodyHtForm0">POL!$G$17</definedName>
    <definedName name="woodynn0" localSheetId="3">[1]POL!$G$36</definedName>
    <definedName name="woodynn0">POL!#REF!</definedName>
    <definedName name="woodypct0">POL!#REF!</definedName>
    <definedName name="WoodyPct14" localSheetId="3">[1]SBM!$G$25</definedName>
    <definedName name="WoodyPct14">SBM!#REF!</definedName>
    <definedName name="WoodyPct5" localSheetId="3">[1]CS!$G$82</definedName>
    <definedName name="WoodyPct5">CS!#REF!</definedName>
    <definedName name="WoodySens2_C" localSheetId="3">[1]CQ!$G$65</definedName>
    <definedName name="WoodySens2_C">EC!#REF!</definedName>
    <definedName name="WoodySens2_S" localSheetId="3">[1]Sen!$G$86</definedName>
    <definedName name="WoodySens2_S">Sen!$G$84</definedName>
    <definedName name="WoodyTyp4">NR!$G$34</definedName>
    <definedName name="WoodyUniq">AM!$G$190</definedName>
    <definedName name="WoodyUniq0">POL!$G$86</definedName>
    <definedName name="WoodyUniq14">SBM!$G$167</definedName>
    <definedName name="WoodyUniq20">PH!$G$185</definedName>
    <definedName name="WQdisDown4" localSheetId="3">[1]NR!$G$132</definedName>
    <definedName name="WQdisDown4">NR!#REF!</definedName>
    <definedName name="WQdistUp7" localSheetId="3">[1]T!#REF!</definedName>
    <definedName name="WQdistUp7">WC!#REF!</definedName>
    <definedName name="WQdown4">NR!#REF!</definedName>
    <definedName name="WQdown7">WC!#REF!</definedName>
    <definedName name="WQdownDis" localSheetId="3">[1]STR!#REF!</definedName>
    <definedName name="WQdownDis">STR!#REF!</definedName>
    <definedName name="WQdownDis11" localSheetId="3">[1]AM!#REF!</definedName>
    <definedName name="WQdownDis11">AM!#REF!</definedName>
    <definedName name="WQdownDis12" localSheetId="3">[1]WBF!#REF!</definedName>
    <definedName name="WQdownDis12">WBF!#REF!</definedName>
    <definedName name="WQdownDis13" localSheetId="3">[1]WBN!#REF!</definedName>
    <definedName name="WQdownDis13">WBN!#REF!</definedName>
    <definedName name="WQdownDis7" localSheetId="3">[1]T!$G$42</definedName>
    <definedName name="WQdownDis7">WC!#REF!</definedName>
    <definedName name="WQdownDis8" localSheetId="3">[1]INV!#REF!</definedName>
    <definedName name="WQdownDis8">INV!#REF!</definedName>
    <definedName name="WQdownDis9" localSheetId="3">[1]FA!$G$115</definedName>
    <definedName name="WQdownDis9">FA!#REF!</definedName>
    <definedName name="WQNdisUp4" localSheetId="3">[1]NR!#REF!</definedName>
    <definedName name="WQNdisUp4">NR!#REF!</definedName>
    <definedName name="WQprobDownS" localSheetId="3">[1]STR!#REF!</definedName>
    <definedName name="WQprobDownS">STR!#REF!</definedName>
    <definedName name="WQprobUpS" localSheetId="3">[1]STR!$G$62</definedName>
    <definedName name="WQprobUpS">STR!#REF!</definedName>
    <definedName name="WQstress">STR!$G$82</definedName>
    <definedName name="WQup11" localSheetId="3">[1]AM!$G$220</definedName>
    <definedName name="WQup11">AM!#REF!</definedName>
    <definedName name="WQup4">NR!#REF!</definedName>
    <definedName name="WQup7">WC!#REF!</definedName>
    <definedName name="WQup9" localSheetId="3">[1]FA!$G$107</definedName>
    <definedName name="WQup9">FA!#REF!</definedName>
    <definedName name="WQupDis" localSheetId="3">[1]STR!#REF!</definedName>
    <definedName name="WQupDis">STR!#REF!</definedName>
    <definedName name="WQupDis11" localSheetId="3">[1]AM!#REF!</definedName>
    <definedName name="WQupDis11">AM!#REF!</definedName>
    <definedName name="WQupDis12" localSheetId="3">[1]WBF!#REF!</definedName>
    <definedName name="WQupDis12">WBF!#REF!</definedName>
    <definedName name="WQupDis13" localSheetId="3">[1]WBN!#REF!</definedName>
    <definedName name="WQupDis13">WBN!#REF!</definedName>
    <definedName name="WQupdis8" localSheetId="3">[1]INV!#REF!</definedName>
    <definedName name="WQupdis8">INV!#REF!</definedName>
    <definedName name="WQupDis9" localSheetId="3">[1]FA!#REF!</definedName>
    <definedName name="WQupDis9">FA!#REF!</definedName>
    <definedName name="Wscape">WBN!$G$193</definedName>
    <definedName name="Wscape14">SBM!$G$183</definedName>
    <definedName name="Z_B8E02330_2419_4DE6_AD01_7ACC7A5D18DD_.wvu.Cols" localSheetId="4" hidden="1">Scores!$I:$I,Scores!#REF!</definedName>
    <definedName name="Z_B8E02330_2419_4DE6_AD01_7ACC7A5D18DD_.wvu.PrintArea" localSheetId="2" hidden="1">F!$A$2:$D$307</definedName>
    <definedName name="Z_B8E02330_2419_4DE6_AD01_7ACC7A5D18DD_.wvu.PrintArea" localSheetId="1" hidden="1">OF!$A$3:$D$144</definedName>
    <definedName name="Z_B8E02330_2419_4DE6_AD01_7ACC7A5D18DD_.wvu.PrintArea" localSheetId="3" hidden="1">S!$A$2:$F$86</definedName>
    <definedName name="Z_B8E02330_2419_4DE6_AD01_7ACC7A5D18DD_.wvu.PrintArea" localSheetId="4" hidden="1">Scores!$A$1:$M$28</definedName>
  </definedNames>
  <calcPr calcId="191029"/>
  <customWorkbookViews>
    <customWorkbookView name="Paul Adamus - Personal View" guid="{B8E02330-2419-4DE6-AD01-7ACC7A5D18DD}" mergeInterval="0" personalView="1" maximized="1" xWindow="1" yWindow="1" windowWidth="1020" windowHeight="490" tabRatio="1000" activeSheetId="3"/>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1" i="12" l="1"/>
  <c r="F67" i="4"/>
  <c r="F68" i="4" s="1"/>
  <c r="G114" i="19" l="1"/>
  <c r="G153" i="18"/>
  <c r="G109" i="15"/>
  <c r="G63" i="17"/>
  <c r="G81" i="16"/>
  <c r="D8" i="11"/>
  <c r="C8" i="11"/>
  <c r="D7" i="11"/>
  <c r="C7" i="11"/>
  <c r="D6" i="11"/>
  <c r="F6" i="11" s="1"/>
  <c r="C6" i="11"/>
  <c r="D5" i="11"/>
  <c r="F5" i="11" s="1"/>
  <c r="C5" i="11"/>
  <c r="F7" i="16"/>
  <c r="D8" i="16"/>
  <c r="C8" i="16"/>
  <c r="D7" i="16"/>
  <c r="C7" i="16"/>
  <c r="D9" i="15"/>
  <c r="C9" i="15"/>
  <c r="D8" i="15"/>
  <c r="C8" i="15"/>
  <c r="D7" i="15"/>
  <c r="F7" i="15" s="1"/>
  <c r="C7" i="15"/>
  <c r="D186" i="20"/>
  <c r="D61" i="21"/>
  <c r="F61" i="21" s="1"/>
  <c r="C61" i="21"/>
  <c r="D60" i="21"/>
  <c r="F60" i="21" s="1"/>
  <c r="C60" i="21"/>
  <c r="D59" i="21"/>
  <c r="F59" i="21" s="1"/>
  <c r="C59" i="21"/>
  <c r="D56" i="21"/>
  <c r="D55" i="21"/>
  <c r="F55" i="21" s="1"/>
  <c r="C55" i="21"/>
  <c r="D53" i="21"/>
  <c r="F53" i="21" s="1"/>
  <c r="C53" i="21"/>
  <c r="D22" i="27"/>
  <c r="C22" i="27"/>
  <c r="D21" i="27"/>
  <c r="C21" i="27"/>
  <c r="D20" i="27"/>
  <c r="F20" i="27" s="1"/>
  <c r="C20" i="27"/>
  <c r="F50" i="25"/>
  <c r="D53" i="25"/>
  <c r="C53" i="25"/>
  <c r="D52" i="25"/>
  <c r="C52" i="25"/>
  <c r="D51" i="25"/>
  <c r="F51" i="25" s="1"/>
  <c r="C51" i="25"/>
  <c r="D50" i="25"/>
  <c r="C50" i="25"/>
  <c r="D40" i="25"/>
  <c r="C40" i="25"/>
  <c r="D39" i="25"/>
  <c r="C39" i="25"/>
  <c r="D38" i="25"/>
  <c r="C38" i="25"/>
  <c r="D37" i="25"/>
  <c r="C37" i="25"/>
  <c r="D36" i="25"/>
  <c r="F36" i="25" s="1"/>
  <c r="C36" i="25"/>
  <c r="D35" i="25"/>
  <c r="C35" i="25"/>
  <c r="D15" i="25"/>
  <c r="F15" i="25" s="1"/>
  <c r="C15" i="25"/>
  <c r="D14" i="25"/>
  <c r="F14" i="25" s="1"/>
  <c r="C14" i="25"/>
  <c r="D8" i="26"/>
  <c r="D7" i="26"/>
  <c r="A8" i="9"/>
  <c r="B8" i="9"/>
  <c r="C8" i="9"/>
  <c r="C9" i="9"/>
  <c r="D9" i="9"/>
  <c r="F9" i="9"/>
  <c r="C10" i="9"/>
  <c r="D10" i="9"/>
  <c r="F10" i="9"/>
  <c r="C11" i="9"/>
  <c r="D11" i="9"/>
  <c r="F11" i="9" s="1"/>
  <c r="C12" i="9"/>
  <c r="D12" i="9"/>
  <c r="F12" i="9"/>
  <c r="C13" i="9"/>
  <c r="D13" i="9"/>
  <c r="F13" i="9"/>
  <c r="C14" i="9"/>
  <c r="D14" i="9"/>
  <c r="F14" i="9" s="1"/>
  <c r="G8" i="9" l="1"/>
  <c r="D7" i="9"/>
  <c r="F7" i="9" s="1"/>
  <c r="D6" i="9"/>
  <c r="F6" i="9" s="1"/>
  <c r="D5" i="9"/>
  <c r="F5" i="9" s="1"/>
  <c r="D4" i="9"/>
  <c r="F4" i="9" s="1"/>
  <c r="C7" i="9"/>
  <c r="C6" i="9"/>
  <c r="C5" i="9"/>
  <c r="C4" i="9"/>
  <c r="C3" i="9"/>
  <c r="G3" i="9" l="1"/>
  <c r="D6" i="26"/>
  <c r="F6" i="26" s="1"/>
  <c r="C8" i="26"/>
  <c r="C7" i="26"/>
  <c r="C6" i="26"/>
  <c r="C5" i="26"/>
  <c r="C4" i="26"/>
  <c r="C3" i="26"/>
  <c r="D66" i="25"/>
  <c r="F66" i="25" s="1"/>
  <c r="C66" i="25"/>
  <c r="D65" i="25"/>
  <c r="F65" i="25" s="1"/>
  <c r="C65" i="25"/>
  <c r="D64" i="25"/>
  <c r="F64" i="25" s="1"/>
  <c r="C64" i="25"/>
  <c r="D66" i="22" l="1"/>
  <c r="C66" i="22"/>
  <c r="D65" i="22"/>
  <c r="C65" i="22"/>
  <c r="D64" i="22"/>
  <c r="C64" i="22"/>
  <c r="D63" i="22"/>
  <c r="F63" i="22" s="1"/>
  <c r="C63" i="22"/>
  <c r="F85" i="4" l="1"/>
  <c r="F86" i="4" s="1"/>
  <c r="F49" i="4"/>
  <c r="F50" i="4" s="1"/>
  <c r="F36" i="4"/>
  <c r="F37" i="4" s="1"/>
  <c r="F23" i="4"/>
  <c r="F24" i="4" s="1"/>
  <c r="D13" i="12" l="1"/>
  <c r="D12" i="12"/>
  <c r="G74" i="25" l="1"/>
  <c r="D11" i="13"/>
  <c r="D93" i="10"/>
  <c r="G69" i="21" l="1"/>
  <c r="G55" i="23"/>
  <c r="G60" i="25" l="1"/>
  <c r="G53" i="23"/>
  <c r="G37" i="19"/>
  <c r="G14" i="15"/>
  <c r="G8" i="17"/>
  <c r="G10" i="14"/>
  <c r="G3" i="13"/>
  <c r="G26" i="11"/>
  <c r="G15" i="10"/>
  <c r="G15" i="9"/>
  <c r="G53" i="12"/>
  <c r="G19" i="8"/>
  <c r="G53" i="18"/>
  <c r="C25" i="16" l="1"/>
  <c r="C192" i="11"/>
  <c r="D54" i="23" l="1"/>
  <c r="G54" i="23" s="1"/>
  <c r="D116" i="19"/>
  <c r="D118" i="19"/>
  <c r="D117" i="19"/>
  <c r="C118" i="19"/>
  <c r="C117" i="19"/>
  <c r="C116" i="19"/>
  <c r="C115" i="19"/>
  <c r="B115" i="19"/>
  <c r="A115" i="19"/>
  <c r="C85" i="17"/>
  <c r="D85" i="17"/>
  <c r="G11" i="13"/>
  <c r="D194" i="11"/>
  <c r="D193" i="11"/>
  <c r="D196" i="11"/>
  <c r="G192" i="11" s="1"/>
  <c r="D195" i="11"/>
  <c r="C196" i="11"/>
  <c r="C195" i="11"/>
  <c r="C194" i="11"/>
  <c r="C193" i="11"/>
  <c r="C184" i="11"/>
  <c r="C183" i="11"/>
  <c r="C182" i="11"/>
  <c r="C181" i="11"/>
  <c r="C180" i="11"/>
  <c r="C179" i="11"/>
  <c r="C178" i="11"/>
  <c r="C177" i="11"/>
  <c r="C176" i="11"/>
  <c r="C175" i="11"/>
  <c r="C174" i="11"/>
  <c r="C173" i="11"/>
  <c r="C172" i="11"/>
  <c r="C171" i="11"/>
  <c r="C170" i="11"/>
  <c r="C169" i="11"/>
  <c r="C168" i="11"/>
  <c r="C167" i="11"/>
  <c r="C166" i="11"/>
  <c r="C165" i="11"/>
  <c r="C164" i="11"/>
  <c r="C163" i="11"/>
  <c r="C162" i="11"/>
  <c r="C161" i="11"/>
  <c r="D129" i="10"/>
  <c r="D128" i="10"/>
  <c r="G127" i="10" s="1"/>
  <c r="D131" i="10"/>
  <c r="D130" i="10"/>
  <c r="C131" i="10"/>
  <c r="C130" i="10"/>
  <c r="C129" i="10"/>
  <c r="C128" i="10"/>
  <c r="C125" i="10"/>
  <c r="C124" i="10"/>
  <c r="C123" i="10"/>
  <c r="C122" i="10"/>
  <c r="C121" i="10"/>
  <c r="C120" i="10"/>
  <c r="C119" i="10"/>
  <c r="C118" i="10"/>
  <c r="C117" i="10"/>
  <c r="C116" i="10"/>
  <c r="C115" i="10"/>
  <c r="C114" i="10"/>
  <c r="C113" i="10"/>
  <c r="C112" i="10"/>
  <c r="C111" i="10"/>
  <c r="C110" i="10"/>
  <c r="C109" i="10"/>
  <c r="C107" i="10"/>
  <c r="C106" i="10"/>
  <c r="C105" i="10"/>
  <c r="C104" i="10"/>
  <c r="C108" i="10"/>
  <c r="C103" i="10"/>
  <c r="D104" i="10"/>
  <c r="D105" i="10"/>
  <c r="D106" i="10"/>
  <c r="D107" i="10"/>
  <c r="D109" i="10"/>
  <c r="D110" i="10"/>
  <c r="D111" i="10"/>
  <c r="D112" i="10"/>
  <c r="G115" i="19" l="1"/>
  <c r="D135" i="23"/>
  <c r="D139" i="23"/>
  <c r="D60" i="25"/>
  <c r="D53" i="23"/>
  <c r="D37" i="19"/>
  <c r="D14" i="15"/>
  <c r="D53" i="18"/>
  <c r="D19" i="8"/>
  <c r="D53" i="12"/>
  <c r="D15" i="9"/>
  <c r="D15" i="10"/>
  <c r="D26" i="11"/>
  <c r="D10" i="14"/>
  <c r="D3" i="13"/>
  <c r="D8" i="17"/>
  <c r="D121" i="15"/>
  <c r="D120" i="15"/>
  <c r="C120" i="15"/>
  <c r="D59" i="18"/>
  <c r="G59" i="18" s="1"/>
  <c r="C59" i="18"/>
  <c r="B59" i="18"/>
  <c r="A59" i="18"/>
  <c r="D15" i="15"/>
  <c r="G15" i="15" s="1"/>
  <c r="C15" i="15"/>
  <c r="B15" i="15"/>
  <c r="A15" i="15"/>
  <c r="C6" i="19" l="1"/>
  <c r="C30" i="24" l="1"/>
  <c r="C29" i="24"/>
  <c r="C28" i="24"/>
  <c r="C27" i="24"/>
  <c r="C26" i="24"/>
  <c r="C63" i="21"/>
  <c r="C42" i="20"/>
  <c r="C41" i="20"/>
  <c r="C40" i="20"/>
  <c r="C39" i="20"/>
  <c r="C38" i="20"/>
  <c r="C37" i="20"/>
  <c r="C36" i="20"/>
  <c r="C35" i="20"/>
  <c r="C34" i="20"/>
  <c r="C33" i="20"/>
  <c r="C32" i="20"/>
  <c r="C42" i="19"/>
  <c r="C41" i="19"/>
  <c r="C40" i="19"/>
  <c r="C39" i="19"/>
  <c r="C38" i="19"/>
  <c r="C37" i="19"/>
  <c r="C36" i="19"/>
  <c r="C35" i="19"/>
  <c r="C34" i="19"/>
  <c r="C33" i="19"/>
  <c r="C32" i="19"/>
  <c r="C58" i="18"/>
  <c r="C57" i="18"/>
  <c r="C56" i="18"/>
  <c r="C55" i="18"/>
  <c r="C54" i="18"/>
  <c r="C53" i="18"/>
  <c r="C49" i="18"/>
  <c r="C52" i="18"/>
  <c r="C51" i="18"/>
  <c r="C50" i="18"/>
  <c r="C48" i="18"/>
  <c r="C47" i="18"/>
  <c r="C46" i="18"/>
  <c r="C45" i="18"/>
  <c r="C44" i="18"/>
  <c r="C14" i="15"/>
  <c r="C13" i="15"/>
  <c r="C12" i="15"/>
  <c r="C11" i="15"/>
  <c r="C10" i="15"/>
  <c r="C14" i="17"/>
  <c r="C13" i="17"/>
  <c r="C12" i="17"/>
  <c r="C11" i="17"/>
  <c r="C10" i="17"/>
  <c r="C9" i="17"/>
  <c r="C8" i="17"/>
  <c r="C7" i="17"/>
  <c r="C6" i="17"/>
  <c r="C5" i="17"/>
  <c r="C4" i="17"/>
  <c r="C3" i="17"/>
  <c r="C24" i="16"/>
  <c r="C23" i="16"/>
  <c r="C22" i="16"/>
  <c r="C21" i="16"/>
  <c r="C20" i="16"/>
  <c r="C19" i="16"/>
  <c r="C18" i="16"/>
  <c r="C17" i="16"/>
  <c r="C16" i="16"/>
  <c r="G10" i="16"/>
  <c r="C15" i="16"/>
  <c r="C14" i="16"/>
  <c r="C13" i="16"/>
  <c r="C12" i="16"/>
  <c r="C11" i="16"/>
  <c r="C25" i="11"/>
  <c r="C24" i="11"/>
  <c r="C23" i="11"/>
  <c r="C22" i="11"/>
  <c r="C21" i="11"/>
  <c r="C20" i="11"/>
  <c r="C19" i="11"/>
  <c r="C18" i="11"/>
  <c r="C17" i="11"/>
  <c r="C16" i="11"/>
  <c r="C15" i="11"/>
  <c r="C14" i="11"/>
  <c r="C13" i="11"/>
  <c r="C12" i="11"/>
  <c r="C11" i="11"/>
  <c r="C10" i="11"/>
  <c r="C53" i="12"/>
  <c r="C15" i="9"/>
  <c r="C15" i="10"/>
  <c r="C8" i="10"/>
  <c r="C14" i="10"/>
  <c r="C13" i="10"/>
  <c r="C12" i="10"/>
  <c r="C11" i="10"/>
  <c r="C10" i="10"/>
  <c r="C9" i="10"/>
  <c r="C7" i="10"/>
  <c r="C6" i="10"/>
  <c r="C5" i="10"/>
  <c r="C4" i="10"/>
  <c r="C3" i="10"/>
  <c r="C118" i="9"/>
  <c r="C117" i="9"/>
  <c r="C116" i="9"/>
  <c r="C115" i="9"/>
  <c r="C114" i="9"/>
  <c r="C113" i="9"/>
  <c r="C112" i="9"/>
  <c r="C111" i="9"/>
  <c r="C110" i="9"/>
  <c r="C109" i="9"/>
  <c r="C108" i="9"/>
  <c r="C107" i="9"/>
  <c r="C106" i="9"/>
  <c r="C105" i="9"/>
  <c r="C104" i="9"/>
  <c r="C103" i="9"/>
  <c r="C102" i="9"/>
  <c r="C101" i="9"/>
  <c r="C100" i="9"/>
  <c r="C99" i="9"/>
  <c r="C98" i="9"/>
  <c r="C97" i="9"/>
  <c r="C96" i="9"/>
  <c r="A96" i="9"/>
  <c r="C48" i="12"/>
  <c r="C47" i="12"/>
  <c r="C46" i="12"/>
  <c r="C52" i="12"/>
  <c r="C51" i="12"/>
  <c r="C50" i="12"/>
  <c r="C49" i="12"/>
  <c r="C45" i="12"/>
  <c r="C6" i="12"/>
  <c r="C5" i="12"/>
  <c r="C4" i="12"/>
  <c r="C3" i="12"/>
  <c r="C6" i="31"/>
  <c r="C5" i="31"/>
  <c r="C4" i="31"/>
  <c r="C3" i="31"/>
  <c r="C19" i="8"/>
  <c r="C18" i="8"/>
  <c r="C17" i="8"/>
  <c r="C16" i="8"/>
  <c r="C15" i="8"/>
  <c r="C14" i="8"/>
  <c r="C13" i="8"/>
  <c r="C12" i="8"/>
  <c r="C11" i="8"/>
  <c r="C10" i="8"/>
  <c r="C9" i="8"/>
  <c r="C8" i="8"/>
  <c r="C7" i="8"/>
  <c r="C6" i="8"/>
  <c r="C5" i="8"/>
  <c r="C4" i="8"/>
  <c r="C3" i="8"/>
  <c r="C9" i="14"/>
  <c r="C8" i="14"/>
  <c r="C7" i="14"/>
  <c r="C6" i="14"/>
  <c r="C5" i="14"/>
  <c r="C4" i="14"/>
  <c r="C3" i="14"/>
  <c r="C10" i="14"/>
  <c r="C3" i="13"/>
  <c r="C26" i="11"/>
  <c r="C54" i="23"/>
  <c r="C53" i="23"/>
  <c r="C22" i="24"/>
  <c r="C25" i="24"/>
  <c r="C24" i="24"/>
  <c r="C23" i="24"/>
  <c r="C21" i="24"/>
  <c r="C20" i="24"/>
  <c r="C19" i="24"/>
  <c r="C18" i="24"/>
  <c r="C17" i="24"/>
  <c r="C63" i="25"/>
  <c r="C62" i="25"/>
  <c r="C61" i="25"/>
  <c r="C60" i="25"/>
  <c r="C59" i="25"/>
  <c r="C58" i="25"/>
  <c r="C57" i="25"/>
  <c r="C56" i="25"/>
  <c r="C55" i="25"/>
  <c r="A55" i="25"/>
  <c r="C31" i="27"/>
  <c r="C30" i="27"/>
  <c r="C29" i="27"/>
  <c r="C28" i="27"/>
  <c r="C27" i="27"/>
  <c r="C26" i="27"/>
  <c r="C25" i="27"/>
  <c r="C24" i="27"/>
  <c r="C23" i="27"/>
  <c r="C186" i="23"/>
  <c r="C87" i="22"/>
  <c r="C177" i="21"/>
  <c r="C176" i="21"/>
  <c r="C188" i="20"/>
  <c r="C187" i="20"/>
  <c r="C158" i="19"/>
  <c r="C157" i="19"/>
  <c r="C199" i="18"/>
  <c r="C87" i="8"/>
  <c r="C86" i="8"/>
  <c r="C85" i="8"/>
  <c r="C84" i="8"/>
  <c r="A84" i="8"/>
  <c r="C83" i="8"/>
  <c r="C82" i="8"/>
  <c r="C81" i="8"/>
  <c r="C80" i="8"/>
  <c r="A80" i="8"/>
  <c r="G54" i="25" l="1"/>
  <c r="G9" i="11"/>
  <c r="G44" i="12"/>
  <c r="G37" i="31"/>
  <c r="G79" i="8"/>
  <c r="B79" i="8"/>
  <c r="C79" i="8"/>
  <c r="D162" i="25" l="1"/>
  <c r="D161" i="25"/>
  <c r="D157" i="25"/>
  <c r="D164" i="25"/>
  <c r="D163" i="25"/>
  <c r="D159" i="25"/>
  <c r="D158" i="25"/>
  <c r="C164" i="25"/>
  <c r="C163" i="25"/>
  <c r="C162" i="25"/>
  <c r="C161" i="25"/>
  <c r="C159" i="25"/>
  <c r="C158" i="25"/>
  <c r="C157" i="25"/>
  <c r="D140" i="23"/>
  <c r="D142" i="23"/>
  <c r="G138" i="23" s="1"/>
  <c r="D141" i="23"/>
  <c r="D137" i="23"/>
  <c r="G134" i="23" s="1"/>
  <c r="D136" i="23"/>
  <c r="C142" i="23"/>
  <c r="C141" i="23"/>
  <c r="C140" i="23"/>
  <c r="C139" i="23"/>
  <c r="C137" i="23"/>
  <c r="C136" i="23"/>
  <c r="C135" i="23"/>
  <c r="D143" i="20"/>
  <c r="D145" i="20"/>
  <c r="G142" i="20" s="1"/>
  <c r="D144" i="20"/>
  <c r="C145" i="20"/>
  <c r="C144" i="20"/>
  <c r="C143" i="20"/>
  <c r="D158" i="18"/>
  <c r="D160" i="18"/>
  <c r="D159" i="18"/>
  <c r="C160" i="18"/>
  <c r="C159" i="18"/>
  <c r="C158" i="18"/>
  <c r="D123" i="15"/>
  <c r="D122" i="15"/>
  <c r="B124" i="15"/>
  <c r="D127" i="15"/>
  <c r="D126" i="15"/>
  <c r="D125" i="15"/>
  <c r="C127" i="15"/>
  <c r="C126" i="15"/>
  <c r="C125" i="15"/>
  <c r="C124" i="15"/>
  <c r="C123" i="15"/>
  <c r="C122" i="15"/>
  <c r="C121" i="15"/>
  <c r="D80" i="17"/>
  <c r="D84" i="17"/>
  <c r="D87" i="17"/>
  <c r="D86" i="17"/>
  <c r="C87" i="17"/>
  <c r="C86" i="17"/>
  <c r="C84" i="17"/>
  <c r="D82" i="17"/>
  <c r="D81" i="17"/>
  <c r="C81" i="17"/>
  <c r="C82" i="17"/>
  <c r="C80" i="17"/>
  <c r="D94" i="10"/>
  <c r="D127" i="11"/>
  <c r="D98" i="16"/>
  <c r="D100" i="16"/>
  <c r="D99" i="16"/>
  <c r="C99" i="16"/>
  <c r="C100" i="16"/>
  <c r="C98" i="16"/>
  <c r="D129" i="11"/>
  <c r="D128" i="11"/>
  <c r="C129" i="11"/>
  <c r="C127" i="11"/>
  <c r="D95" i="10"/>
  <c r="G92" i="10" s="1"/>
  <c r="C95" i="10"/>
  <c r="C93" i="10"/>
  <c r="G160" i="25" l="1"/>
  <c r="G157" i="18"/>
  <c r="G126" i="11"/>
  <c r="G97" i="16"/>
  <c r="G119" i="15"/>
  <c r="G156" i="25"/>
  <c r="G79" i="17"/>
  <c r="G83" i="17"/>
  <c r="D25" i="16" l="1"/>
  <c r="G25" i="16" s="1"/>
  <c r="D14" i="17"/>
  <c r="G14" i="17" s="1"/>
  <c r="A10" i="16"/>
  <c r="B10" i="16"/>
  <c r="C10" i="16"/>
  <c r="B14" i="17" l="1"/>
  <c r="A14" i="17"/>
  <c r="B25" i="16" l="1"/>
  <c r="A25" i="16"/>
  <c r="D78" i="8" l="1"/>
  <c r="F78" i="8" s="1"/>
  <c r="D77" i="8"/>
  <c r="F77" i="8" s="1"/>
  <c r="D76" i="8"/>
  <c r="F76" i="8" s="1"/>
  <c r="D75" i="8"/>
  <c r="F75" i="8" s="1"/>
  <c r="G74" i="8" s="1"/>
  <c r="C78" i="8"/>
  <c r="C77" i="8"/>
  <c r="C76" i="8"/>
  <c r="C75" i="8"/>
  <c r="C74" i="8"/>
  <c r="D72" i="24"/>
  <c r="C72" i="24"/>
  <c r="D61" i="24"/>
  <c r="F61" i="24" s="1"/>
  <c r="C61" i="24"/>
  <c r="D30" i="24"/>
  <c r="D29" i="24"/>
  <c r="D28" i="24"/>
  <c r="D27" i="24"/>
  <c r="B26" i="24"/>
  <c r="A26" i="24"/>
  <c r="D51" i="24"/>
  <c r="C51" i="24"/>
  <c r="D44" i="24"/>
  <c r="C44" i="24"/>
  <c r="D39" i="24"/>
  <c r="C39" i="24"/>
  <c r="D38" i="24"/>
  <c r="C38" i="24"/>
  <c r="D37" i="24"/>
  <c r="C37" i="24"/>
  <c r="C36" i="24"/>
  <c r="B36" i="24"/>
  <c r="A36" i="24"/>
  <c r="D25" i="24"/>
  <c r="D24" i="24"/>
  <c r="D23" i="24"/>
  <c r="B22" i="24"/>
  <c r="A22" i="24"/>
  <c r="D35" i="24"/>
  <c r="C35" i="24"/>
  <c r="D34" i="24"/>
  <c r="C34" i="24"/>
  <c r="D33" i="24"/>
  <c r="C33" i="24"/>
  <c r="D32" i="24"/>
  <c r="C32" i="24"/>
  <c r="C31" i="24"/>
  <c r="B31" i="24"/>
  <c r="A31" i="24"/>
  <c r="D21" i="24"/>
  <c r="D20" i="24"/>
  <c r="D19" i="24"/>
  <c r="D18" i="24"/>
  <c r="D14" i="24"/>
  <c r="F14" i="24" s="1"/>
  <c r="C14" i="24"/>
  <c r="D4" i="24"/>
  <c r="C4" i="24"/>
  <c r="D173" i="25"/>
  <c r="F173" i="25" s="1"/>
  <c r="C173" i="25"/>
  <c r="D155" i="25"/>
  <c r="F155" i="25" s="1"/>
  <c r="C155" i="25"/>
  <c r="D154" i="25"/>
  <c r="F154" i="25" s="1"/>
  <c r="C154" i="25"/>
  <c r="D153" i="25"/>
  <c r="F153" i="25" s="1"/>
  <c r="C153" i="25"/>
  <c r="C152" i="25"/>
  <c r="B152" i="25"/>
  <c r="A152" i="25"/>
  <c r="D151" i="25"/>
  <c r="F151" i="25" s="1"/>
  <c r="C151" i="25"/>
  <c r="D150" i="25"/>
  <c r="F150" i="25" s="1"/>
  <c r="C150" i="25"/>
  <c r="D145" i="25"/>
  <c r="F145" i="25" s="1"/>
  <c r="C145" i="25"/>
  <c r="D144" i="25"/>
  <c r="F144" i="25" s="1"/>
  <c r="C144" i="25"/>
  <c r="D143" i="25"/>
  <c r="F143" i="25" s="1"/>
  <c r="C143" i="25"/>
  <c r="D142" i="25"/>
  <c r="F142" i="25" s="1"/>
  <c r="C142" i="25"/>
  <c r="D141" i="25"/>
  <c r="F141" i="25" s="1"/>
  <c r="C141" i="25"/>
  <c r="D140" i="25"/>
  <c r="F140" i="25" s="1"/>
  <c r="C140" i="25"/>
  <c r="C139" i="25"/>
  <c r="B139" i="25"/>
  <c r="A139" i="25"/>
  <c r="D138" i="25"/>
  <c r="F138" i="25" s="1"/>
  <c r="C138" i="25"/>
  <c r="D137" i="25"/>
  <c r="F137" i="25" s="1"/>
  <c r="C137" i="25"/>
  <c r="D136" i="25"/>
  <c r="F136" i="25" s="1"/>
  <c r="C136" i="25"/>
  <c r="D135" i="25"/>
  <c r="F135" i="25" s="1"/>
  <c r="C135" i="25"/>
  <c r="D134" i="25"/>
  <c r="F134" i="25" s="1"/>
  <c r="G133" i="25" s="1"/>
  <c r="C134" i="25"/>
  <c r="C133" i="25"/>
  <c r="B133" i="25"/>
  <c r="A133" i="25"/>
  <c r="D132" i="25"/>
  <c r="F132" i="25" s="1"/>
  <c r="C132" i="25"/>
  <c r="D131" i="25"/>
  <c r="F131" i="25" s="1"/>
  <c r="C131" i="25"/>
  <c r="D130" i="25"/>
  <c r="F130" i="25" s="1"/>
  <c r="C130" i="25"/>
  <c r="D129" i="25"/>
  <c r="F129" i="25" s="1"/>
  <c r="C129" i="25"/>
  <c r="D128" i="25"/>
  <c r="F128" i="25" s="1"/>
  <c r="G127" i="25" s="1"/>
  <c r="C128" i="25"/>
  <c r="C127" i="25"/>
  <c r="B127" i="25"/>
  <c r="A127" i="25"/>
  <c r="D126" i="25"/>
  <c r="F126" i="25" s="1"/>
  <c r="C126" i="25"/>
  <c r="D125" i="25"/>
  <c r="F125" i="25" s="1"/>
  <c r="C125" i="25"/>
  <c r="D124" i="25"/>
  <c r="F124" i="25" s="1"/>
  <c r="C124" i="25"/>
  <c r="D123" i="25"/>
  <c r="F123" i="25" s="1"/>
  <c r="C123" i="25"/>
  <c r="D122" i="25"/>
  <c r="F122" i="25" s="1"/>
  <c r="C122" i="25"/>
  <c r="D121" i="25"/>
  <c r="F121" i="25" s="1"/>
  <c r="C121" i="25"/>
  <c r="C120" i="25"/>
  <c r="B120" i="25"/>
  <c r="A120" i="25"/>
  <c r="D119" i="25"/>
  <c r="F119" i="25" s="1"/>
  <c r="C119" i="25"/>
  <c r="D118" i="25"/>
  <c r="F118" i="25" s="1"/>
  <c r="C118" i="25"/>
  <c r="D117" i="25"/>
  <c r="F117" i="25" s="1"/>
  <c r="C117" i="25"/>
  <c r="D116" i="25"/>
  <c r="F116" i="25" s="1"/>
  <c r="C116" i="25"/>
  <c r="D115" i="25"/>
  <c r="F115" i="25" s="1"/>
  <c r="C115" i="25"/>
  <c r="C114" i="25"/>
  <c r="B114" i="25"/>
  <c r="A114" i="25"/>
  <c r="D113" i="25"/>
  <c r="F113" i="25" s="1"/>
  <c r="C113" i="25"/>
  <c r="D112" i="25"/>
  <c r="F112" i="25" s="1"/>
  <c r="C112" i="25"/>
  <c r="C111" i="25"/>
  <c r="B111" i="25"/>
  <c r="A111" i="25"/>
  <c r="D109" i="25"/>
  <c r="F109" i="25" s="1"/>
  <c r="C109" i="25"/>
  <c r="C94" i="25"/>
  <c r="B94" i="25"/>
  <c r="A94" i="25"/>
  <c r="C91" i="25"/>
  <c r="D78" i="25"/>
  <c r="F78" i="25" s="1"/>
  <c r="C78" i="25"/>
  <c r="C74" i="25"/>
  <c r="B74" i="25"/>
  <c r="A74" i="25"/>
  <c r="D73" i="25"/>
  <c r="C73" i="25"/>
  <c r="D63" i="25"/>
  <c r="D62" i="25"/>
  <c r="B61" i="25"/>
  <c r="A61" i="25"/>
  <c r="B60" i="25"/>
  <c r="A60" i="25"/>
  <c r="D59" i="25"/>
  <c r="D58" i="25"/>
  <c r="D57" i="25"/>
  <c r="D56" i="25"/>
  <c r="B55" i="25"/>
  <c r="C26" i="25"/>
  <c r="B26" i="25"/>
  <c r="A26" i="25"/>
  <c r="C18" i="25"/>
  <c r="B18" i="25"/>
  <c r="A18" i="25"/>
  <c r="D8" i="25"/>
  <c r="C8" i="25"/>
  <c r="D6" i="25"/>
  <c r="C6" i="25"/>
  <c r="D5" i="25"/>
  <c r="C5" i="25"/>
  <c r="D4" i="25"/>
  <c r="C4" i="25"/>
  <c r="C3" i="25"/>
  <c r="B3" i="25"/>
  <c r="A3" i="25"/>
  <c r="C26" i="26"/>
  <c r="D25" i="26"/>
  <c r="C25" i="26"/>
  <c r="D24" i="26"/>
  <c r="C24" i="26"/>
  <c r="D23" i="26"/>
  <c r="C23" i="26"/>
  <c r="C22" i="26"/>
  <c r="B22" i="26"/>
  <c r="A22" i="26"/>
  <c r="D21" i="26"/>
  <c r="C21" i="26"/>
  <c r="D20" i="26"/>
  <c r="F20" i="26" s="1"/>
  <c r="C20" i="26"/>
  <c r="C19" i="26"/>
  <c r="B19" i="26"/>
  <c r="A19" i="26"/>
  <c r="D17" i="26"/>
  <c r="F17" i="26" s="1"/>
  <c r="C17" i="26"/>
  <c r="D5" i="26"/>
  <c r="D4" i="26"/>
  <c r="B3" i="26"/>
  <c r="A3" i="26"/>
  <c r="D50" i="27"/>
  <c r="C50" i="27"/>
  <c r="D40" i="27"/>
  <c r="C40" i="27"/>
  <c r="D32" i="27"/>
  <c r="G32" i="27" s="1"/>
  <c r="C32" i="27"/>
  <c r="B32" i="27"/>
  <c r="A32" i="27"/>
  <c r="D31" i="27"/>
  <c r="D30" i="27"/>
  <c r="D29" i="27"/>
  <c r="D28" i="27"/>
  <c r="B27" i="27"/>
  <c r="A27" i="27"/>
  <c r="D26" i="27"/>
  <c r="B26" i="27"/>
  <c r="A26" i="27"/>
  <c r="D25" i="27"/>
  <c r="B25" i="27"/>
  <c r="A25" i="27"/>
  <c r="D24" i="27"/>
  <c r="B24" i="27"/>
  <c r="A24" i="27"/>
  <c r="D23" i="27"/>
  <c r="B23" i="27"/>
  <c r="A23" i="27"/>
  <c r="D18" i="27"/>
  <c r="F18" i="27" s="1"/>
  <c r="C18" i="27"/>
  <c r="D14" i="27"/>
  <c r="F14" i="27" s="1"/>
  <c r="C14" i="27"/>
  <c r="D4" i="27"/>
  <c r="C4" i="27"/>
  <c r="B188" i="23"/>
  <c r="D186" i="23"/>
  <c r="G186" i="23" s="1"/>
  <c r="B186" i="23"/>
  <c r="A186" i="23"/>
  <c r="B181" i="23"/>
  <c r="A181" i="23"/>
  <c r="D174" i="23"/>
  <c r="F174" i="23" s="1"/>
  <c r="C174" i="23"/>
  <c r="D162" i="23"/>
  <c r="F162" i="23" s="1"/>
  <c r="C162" i="23"/>
  <c r="D155" i="23"/>
  <c r="F155" i="23" s="1"/>
  <c r="C155" i="23"/>
  <c r="D133" i="23"/>
  <c r="G179" i="23" s="1"/>
  <c r="C133" i="23"/>
  <c r="B133" i="23"/>
  <c r="A133" i="23"/>
  <c r="D132" i="23"/>
  <c r="F132" i="23" s="1"/>
  <c r="C132" i="23"/>
  <c r="D131" i="23"/>
  <c r="F131" i="23" s="1"/>
  <c r="C131" i="23"/>
  <c r="D130" i="23"/>
  <c r="F130" i="23" s="1"/>
  <c r="G129" i="23" s="1"/>
  <c r="C130" i="23"/>
  <c r="C129" i="23"/>
  <c r="B129" i="23"/>
  <c r="A129" i="23"/>
  <c r="D128" i="23"/>
  <c r="F128" i="23" s="1"/>
  <c r="C128" i="23"/>
  <c r="D127" i="23"/>
  <c r="F127" i="23" s="1"/>
  <c r="C127" i="23"/>
  <c r="D126" i="23"/>
  <c r="F126" i="23" s="1"/>
  <c r="C126" i="23"/>
  <c r="D125" i="23"/>
  <c r="F125" i="23" s="1"/>
  <c r="C125" i="23"/>
  <c r="D124" i="23"/>
  <c r="F124" i="23" s="1"/>
  <c r="C124" i="23"/>
  <c r="D123" i="23"/>
  <c r="F123" i="23" s="1"/>
  <c r="G122" i="23" s="1"/>
  <c r="C123" i="23"/>
  <c r="C122" i="23"/>
  <c r="B122" i="23"/>
  <c r="A122" i="23"/>
  <c r="D121" i="23"/>
  <c r="F121" i="23" s="1"/>
  <c r="C121" i="23"/>
  <c r="D120" i="23"/>
  <c r="F120" i="23" s="1"/>
  <c r="C120" i="23"/>
  <c r="D119" i="23"/>
  <c r="F119" i="23" s="1"/>
  <c r="C119" i="23"/>
  <c r="D118" i="23"/>
  <c r="F118" i="23" s="1"/>
  <c r="C118" i="23"/>
  <c r="D117" i="23"/>
  <c r="F117" i="23" s="1"/>
  <c r="G116" i="23" s="1"/>
  <c r="C117" i="23"/>
  <c r="C116" i="23"/>
  <c r="B116" i="23"/>
  <c r="A116" i="23"/>
  <c r="D115" i="23"/>
  <c r="F115" i="23" s="1"/>
  <c r="C115" i="23"/>
  <c r="D114" i="23"/>
  <c r="F114" i="23" s="1"/>
  <c r="C114" i="23"/>
  <c r="D113" i="23"/>
  <c r="F113" i="23" s="1"/>
  <c r="C113" i="23"/>
  <c r="D112" i="23"/>
  <c r="F112" i="23" s="1"/>
  <c r="C112" i="23"/>
  <c r="D111" i="23"/>
  <c r="F111" i="23" s="1"/>
  <c r="C111" i="23"/>
  <c r="C110" i="23"/>
  <c r="B110" i="23"/>
  <c r="A110" i="23"/>
  <c r="D109" i="23"/>
  <c r="F109" i="23" s="1"/>
  <c r="C109" i="23"/>
  <c r="D108" i="23"/>
  <c r="F108" i="23" s="1"/>
  <c r="C108" i="23"/>
  <c r="D107" i="23"/>
  <c r="F107" i="23" s="1"/>
  <c r="C107" i="23"/>
  <c r="D106" i="23"/>
  <c r="F106" i="23" s="1"/>
  <c r="C106" i="23"/>
  <c r="D105" i="23"/>
  <c r="F105" i="23" s="1"/>
  <c r="C105" i="23"/>
  <c r="C104" i="23"/>
  <c r="B104" i="23"/>
  <c r="A104" i="23"/>
  <c r="D103" i="23"/>
  <c r="F103" i="23" s="1"/>
  <c r="C103" i="23"/>
  <c r="D102" i="23"/>
  <c r="F102" i="23" s="1"/>
  <c r="C102" i="23"/>
  <c r="D101" i="23"/>
  <c r="F101" i="23" s="1"/>
  <c r="C101" i="23"/>
  <c r="D100" i="23"/>
  <c r="F100" i="23" s="1"/>
  <c r="C100" i="23"/>
  <c r="D99" i="23"/>
  <c r="F99" i="23" s="1"/>
  <c r="C99" i="23"/>
  <c r="D98" i="23"/>
  <c r="F98" i="23" s="1"/>
  <c r="C98" i="23"/>
  <c r="C97" i="23"/>
  <c r="B97" i="23"/>
  <c r="A97" i="23"/>
  <c r="D96" i="23"/>
  <c r="F96" i="23" s="1"/>
  <c r="C96" i="23"/>
  <c r="D95" i="23"/>
  <c r="F95" i="23" s="1"/>
  <c r="C95" i="23"/>
  <c r="D94" i="23"/>
  <c r="F94" i="23" s="1"/>
  <c r="C94" i="23"/>
  <c r="D93" i="23"/>
  <c r="F93" i="23" s="1"/>
  <c r="C93" i="23"/>
  <c r="C92" i="23"/>
  <c r="B92" i="23"/>
  <c r="A92" i="23"/>
  <c r="D91" i="23"/>
  <c r="C91" i="23"/>
  <c r="D90" i="23"/>
  <c r="C90" i="23"/>
  <c r="D89" i="23"/>
  <c r="C89" i="23"/>
  <c r="D88" i="23"/>
  <c r="C88" i="23"/>
  <c r="D87" i="23"/>
  <c r="C87" i="23"/>
  <c r="C86" i="23"/>
  <c r="B86" i="23"/>
  <c r="A86" i="23"/>
  <c r="D85" i="23"/>
  <c r="C85" i="23"/>
  <c r="D84" i="23"/>
  <c r="F84" i="23" s="1"/>
  <c r="C84" i="23"/>
  <c r="C83" i="23"/>
  <c r="B83" i="23"/>
  <c r="A83" i="23"/>
  <c r="D81" i="23"/>
  <c r="C81" i="23"/>
  <c r="D75" i="23"/>
  <c r="C75" i="23"/>
  <c r="C67" i="23"/>
  <c r="B67" i="23"/>
  <c r="A67" i="23"/>
  <c r="C64" i="23"/>
  <c r="D56" i="23"/>
  <c r="G56" i="23" s="1"/>
  <c r="C55" i="23"/>
  <c r="B55" i="23"/>
  <c r="A55" i="23"/>
  <c r="B54" i="23"/>
  <c r="A54" i="23"/>
  <c r="B53" i="23"/>
  <c r="A53" i="23"/>
  <c r="D52" i="23"/>
  <c r="C52" i="23"/>
  <c r="D43" i="23"/>
  <c r="C43" i="23"/>
  <c r="D33" i="23"/>
  <c r="C33" i="23"/>
  <c r="C26" i="23"/>
  <c r="B26" i="23"/>
  <c r="A26" i="23"/>
  <c r="C18" i="23"/>
  <c r="B18" i="23"/>
  <c r="A18" i="23"/>
  <c r="D9" i="23"/>
  <c r="C9" i="23"/>
  <c r="D8" i="23"/>
  <c r="C8" i="23"/>
  <c r="D7" i="23"/>
  <c r="C7" i="23"/>
  <c r="D6" i="23"/>
  <c r="C6" i="23"/>
  <c r="D5" i="23"/>
  <c r="C5" i="23"/>
  <c r="D4" i="23"/>
  <c r="C4" i="23"/>
  <c r="D87" i="22"/>
  <c r="B87" i="22"/>
  <c r="A87" i="22"/>
  <c r="D82" i="22"/>
  <c r="F82" i="22" s="1"/>
  <c r="C82" i="22"/>
  <c r="B82" i="22"/>
  <c r="A82" i="22"/>
  <c r="D77" i="22"/>
  <c r="C77" i="22"/>
  <c r="D72" i="22"/>
  <c r="F72" i="22" s="1"/>
  <c r="C72" i="22"/>
  <c r="D71" i="22"/>
  <c r="C71" i="22"/>
  <c r="D70" i="22"/>
  <c r="C70" i="22"/>
  <c r="D69" i="22"/>
  <c r="C69" i="22"/>
  <c r="D68" i="22"/>
  <c r="C68" i="22"/>
  <c r="C67" i="22"/>
  <c r="B67" i="22"/>
  <c r="A67" i="22"/>
  <c r="D62" i="22"/>
  <c r="C62" i="22"/>
  <c r="C61" i="22"/>
  <c r="B61" i="22"/>
  <c r="A61" i="22"/>
  <c r="D60" i="22"/>
  <c r="C60" i="22"/>
  <c r="D59" i="22"/>
  <c r="C59" i="22"/>
  <c r="C58" i="22"/>
  <c r="B58" i="22"/>
  <c r="A58" i="22"/>
  <c r="D50" i="22"/>
  <c r="C50" i="22"/>
  <c r="D30" i="22"/>
  <c r="C30" i="22"/>
  <c r="D21" i="22"/>
  <c r="F21" i="22" s="1"/>
  <c r="C21" i="22"/>
  <c r="D19" i="22"/>
  <c r="F19" i="22" s="1"/>
  <c r="C19" i="22"/>
  <c r="D18" i="22"/>
  <c r="F18" i="22" s="1"/>
  <c r="C18" i="22"/>
  <c r="C17" i="22"/>
  <c r="B17" i="22"/>
  <c r="A17" i="22"/>
  <c r="C11" i="22"/>
  <c r="B11" i="22"/>
  <c r="A11" i="22"/>
  <c r="C3" i="22"/>
  <c r="B3" i="22"/>
  <c r="A3" i="22"/>
  <c r="D177" i="21"/>
  <c r="G177" i="21" s="1"/>
  <c r="B177" i="21"/>
  <c r="A177" i="21"/>
  <c r="D176" i="21"/>
  <c r="G176" i="21" s="1"/>
  <c r="B176" i="21"/>
  <c r="A176" i="21"/>
  <c r="D175" i="21"/>
  <c r="F175" i="21" s="1"/>
  <c r="C175" i="21"/>
  <c r="D162" i="21"/>
  <c r="F162" i="21" s="1"/>
  <c r="C162" i="21"/>
  <c r="D152" i="21"/>
  <c r="F152" i="21" s="1"/>
  <c r="C152" i="21"/>
  <c r="B152" i="21"/>
  <c r="A152" i="21"/>
  <c r="D147" i="21"/>
  <c r="F147" i="21" s="1"/>
  <c r="C147" i="21"/>
  <c r="D138" i="21"/>
  <c r="F138" i="21" s="1"/>
  <c r="C138" i="21"/>
  <c r="D137" i="21"/>
  <c r="F137" i="21" s="1"/>
  <c r="C137" i="21"/>
  <c r="D136" i="21"/>
  <c r="F136" i="21" s="1"/>
  <c r="C136" i="21"/>
  <c r="C135" i="21"/>
  <c r="B135" i="21"/>
  <c r="A135" i="21"/>
  <c r="D134" i="21"/>
  <c r="F134" i="21" s="1"/>
  <c r="C134" i="21"/>
  <c r="D133" i="21"/>
  <c r="F133" i="21" s="1"/>
  <c r="C133" i="21"/>
  <c r="D132" i="21"/>
  <c r="F132" i="21" s="1"/>
  <c r="C132" i="21"/>
  <c r="D131" i="21"/>
  <c r="F131" i="21" s="1"/>
  <c r="C131" i="21"/>
  <c r="D130" i="21"/>
  <c r="F130" i="21" s="1"/>
  <c r="C130" i="21"/>
  <c r="D129" i="21"/>
  <c r="F129" i="21" s="1"/>
  <c r="G128" i="21" s="1"/>
  <c r="C129" i="21"/>
  <c r="C128" i="21"/>
  <c r="B128" i="21"/>
  <c r="A128" i="21"/>
  <c r="D127" i="21"/>
  <c r="F127" i="21" s="1"/>
  <c r="C127" i="21"/>
  <c r="D126" i="21"/>
  <c r="F126" i="21" s="1"/>
  <c r="C126" i="21"/>
  <c r="D125" i="21"/>
  <c r="F125" i="21" s="1"/>
  <c r="C125" i="21"/>
  <c r="D124" i="21"/>
  <c r="F124" i="21" s="1"/>
  <c r="C124" i="21"/>
  <c r="D123" i="21"/>
  <c r="F123" i="21" s="1"/>
  <c r="C123" i="21"/>
  <c r="C122" i="21"/>
  <c r="B122" i="21"/>
  <c r="A122" i="21"/>
  <c r="D121" i="21"/>
  <c r="F121" i="21" s="1"/>
  <c r="C121" i="21"/>
  <c r="D120" i="21"/>
  <c r="F120" i="21" s="1"/>
  <c r="C120" i="21"/>
  <c r="D119" i="21"/>
  <c r="F119" i="21" s="1"/>
  <c r="C119" i="21"/>
  <c r="D118" i="21"/>
  <c r="F118" i="21" s="1"/>
  <c r="C118" i="21"/>
  <c r="D117" i="21"/>
  <c r="F117" i="21" s="1"/>
  <c r="C117" i="21"/>
  <c r="D116" i="21"/>
  <c r="F116" i="21" s="1"/>
  <c r="C116" i="21"/>
  <c r="C115" i="21"/>
  <c r="B115" i="21"/>
  <c r="A115" i="21"/>
  <c r="D109" i="21"/>
  <c r="F109" i="21" s="1"/>
  <c r="C109" i="21"/>
  <c r="C96" i="21"/>
  <c r="B96" i="21"/>
  <c r="A96" i="21"/>
  <c r="C86" i="21"/>
  <c r="D76" i="21"/>
  <c r="C76" i="21"/>
  <c r="C69" i="21"/>
  <c r="B69" i="21"/>
  <c r="A69" i="21"/>
  <c r="D68" i="21"/>
  <c r="C68" i="21"/>
  <c r="D67" i="21"/>
  <c r="C67" i="21"/>
  <c r="D66" i="21"/>
  <c r="C66" i="21"/>
  <c r="D65" i="21"/>
  <c r="C65" i="21"/>
  <c r="C64" i="21"/>
  <c r="B64" i="21"/>
  <c r="A64" i="21"/>
  <c r="D63" i="21"/>
  <c r="B63" i="21"/>
  <c r="A63" i="21"/>
  <c r="D62" i="21"/>
  <c r="C62" i="21"/>
  <c r="C56" i="21"/>
  <c r="D46" i="21"/>
  <c r="C46" i="21"/>
  <c r="D36" i="21"/>
  <c r="C36" i="21"/>
  <c r="C26" i="21"/>
  <c r="B26" i="21"/>
  <c r="A26" i="21"/>
  <c r="C18" i="21"/>
  <c r="B18" i="21"/>
  <c r="A18" i="21"/>
  <c r="D9" i="21"/>
  <c r="C9" i="21"/>
  <c r="D8" i="21"/>
  <c r="C8" i="21"/>
  <c r="D7" i="21"/>
  <c r="C7" i="21"/>
  <c r="D6" i="21"/>
  <c r="C6" i="21"/>
  <c r="D5" i="21"/>
  <c r="C5" i="21"/>
  <c r="D4" i="21"/>
  <c r="C4" i="21"/>
  <c r="D188" i="20"/>
  <c r="G188" i="20" s="1"/>
  <c r="B188" i="20"/>
  <c r="A188" i="20"/>
  <c r="D187" i="20"/>
  <c r="G187" i="20" s="1"/>
  <c r="B187" i="20"/>
  <c r="A187" i="20"/>
  <c r="F186" i="20"/>
  <c r="C186" i="20"/>
  <c r="D173" i="20"/>
  <c r="F173" i="20" s="1"/>
  <c r="C173" i="20"/>
  <c r="D159" i="20"/>
  <c r="F159" i="20" s="1"/>
  <c r="C159" i="20"/>
  <c r="C150" i="20"/>
  <c r="B150" i="20"/>
  <c r="A150" i="20"/>
  <c r="D140" i="20"/>
  <c r="F140" i="20" s="1"/>
  <c r="C140" i="20"/>
  <c r="D139" i="20"/>
  <c r="F139" i="20" s="1"/>
  <c r="C139" i="20"/>
  <c r="D138" i="20"/>
  <c r="F138" i="20" s="1"/>
  <c r="G137" i="20" s="1"/>
  <c r="C138" i="20"/>
  <c r="C137" i="20"/>
  <c r="B137" i="20"/>
  <c r="A137" i="20"/>
  <c r="D136" i="20"/>
  <c r="F136" i="20" s="1"/>
  <c r="C136" i="20"/>
  <c r="D135" i="20"/>
  <c r="F135" i="20" s="1"/>
  <c r="C135" i="20"/>
  <c r="D134" i="20"/>
  <c r="F134" i="20" s="1"/>
  <c r="C134" i="20"/>
  <c r="D133" i="20"/>
  <c r="F133" i="20" s="1"/>
  <c r="C133" i="20"/>
  <c r="C132" i="20"/>
  <c r="B132" i="20"/>
  <c r="A132" i="20"/>
  <c r="D131" i="20"/>
  <c r="F131" i="20" s="1"/>
  <c r="C131" i="20"/>
  <c r="D130" i="20"/>
  <c r="F130" i="20" s="1"/>
  <c r="C130" i="20"/>
  <c r="D129" i="20"/>
  <c r="F129" i="20" s="1"/>
  <c r="C129" i="20"/>
  <c r="D128" i="20"/>
  <c r="F128" i="20" s="1"/>
  <c r="C128" i="20"/>
  <c r="D127" i="20"/>
  <c r="F127" i="20" s="1"/>
  <c r="G126" i="20" s="1"/>
  <c r="C127" i="20"/>
  <c r="C126" i="20"/>
  <c r="B126" i="20"/>
  <c r="A126" i="20"/>
  <c r="D125" i="20"/>
  <c r="F125" i="20" s="1"/>
  <c r="C125" i="20"/>
  <c r="D124" i="20"/>
  <c r="F124" i="20" s="1"/>
  <c r="C124" i="20"/>
  <c r="D123" i="20"/>
  <c r="F123" i="20" s="1"/>
  <c r="C123" i="20"/>
  <c r="D122" i="20"/>
  <c r="F122" i="20" s="1"/>
  <c r="C122" i="20"/>
  <c r="D121" i="20"/>
  <c r="F121" i="20" s="1"/>
  <c r="C121" i="20"/>
  <c r="D120" i="20"/>
  <c r="F120" i="20" s="1"/>
  <c r="C120" i="20"/>
  <c r="C119" i="20"/>
  <c r="B119" i="20"/>
  <c r="A119" i="20"/>
  <c r="D118" i="20"/>
  <c r="F118" i="20" s="1"/>
  <c r="C118" i="20"/>
  <c r="D117" i="20"/>
  <c r="F117" i="20" s="1"/>
  <c r="C117" i="20"/>
  <c r="D116" i="20"/>
  <c r="F116" i="20" s="1"/>
  <c r="C116" i="20"/>
  <c r="D115" i="20"/>
  <c r="F115" i="20" s="1"/>
  <c r="C115" i="20"/>
  <c r="D114" i="20"/>
  <c r="F114" i="20" s="1"/>
  <c r="C114" i="20"/>
  <c r="D113" i="20"/>
  <c r="F113" i="20" s="1"/>
  <c r="C113" i="20"/>
  <c r="C112" i="20"/>
  <c r="B112" i="20"/>
  <c r="A112" i="20"/>
  <c r="D111" i="20"/>
  <c r="F111" i="20" s="1"/>
  <c r="C111" i="20"/>
  <c r="D110" i="20"/>
  <c r="F110" i="20" s="1"/>
  <c r="C110" i="20"/>
  <c r="D109" i="20"/>
  <c r="F109" i="20" s="1"/>
  <c r="C109" i="20"/>
  <c r="D108" i="20"/>
  <c r="F108" i="20" s="1"/>
  <c r="C108" i="20"/>
  <c r="D107" i="20"/>
  <c r="F107" i="20" s="1"/>
  <c r="C107" i="20"/>
  <c r="C106" i="20"/>
  <c r="B106" i="20"/>
  <c r="A106" i="20"/>
  <c r="D105" i="20"/>
  <c r="F105" i="20" s="1"/>
  <c r="C105" i="20"/>
  <c r="D104" i="20"/>
  <c r="F104" i="20" s="1"/>
  <c r="C104" i="20"/>
  <c r="D103" i="20"/>
  <c r="F103" i="20" s="1"/>
  <c r="G102" i="20" s="1"/>
  <c r="C103" i="20"/>
  <c r="C102" i="20"/>
  <c r="B102" i="20"/>
  <c r="A102" i="20"/>
  <c r="D101" i="20"/>
  <c r="F101" i="20" s="1"/>
  <c r="C101" i="20"/>
  <c r="D100" i="20"/>
  <c r="F100" i="20" s="1"/>
  <c r="C100" i="20"/>
  <c r="D99" i="20"/>
  <c r="C99" i="20"/>
  <c r="D98" i="20"/>
  <c r="C98" i="20"/>
  <c r="D97" i="20"/>
  <c r="C97" i="20"/>
  <c r="C96" i="20"/>
  <c r="B96" i="20"/>
  <c r="A96" i="20"/>
  <c r="D95" i="20"/>
  <c r="C95" i="20"/>
  <c r="D94" i="20"/>
  <c r="C94" i="20"/>
  <c r="D93" i="20"/>
  <c r="C93" i="20"/>
  <c r="D92" i="20"/>
  <c r="C92" i="20"/>
  <c r="D91" i="20"/>
  <c r="F91" i="20" s="1"/>
  <c r="C91" i="20"/>
  <c r="C90" i="20"/>
  <c r="B90" i="20"/>
  <c r="A90" i="20"/>
  <c r="D89" i="20"/>
  <c r="C89" i="20"/>
  <c r="D88" i="20"/>
  <c r="C88" i="20"/>
  <c r="D87" i="20"/>
  <c r="C87" i="20"/>
  <c r="D86" i="20"/>
  <c r="C86" i="20"/>
  <c r="D85" i="20"/>
  <c r="C85" i="20"/>
  <c r="C84" i="20"/>
  <c r="B84" i="20"/>
  <c r="A84" i="20"/>
  <c r="D83" i="20"/>
  <c r="C83" i="20"/>
  <c r="D82" i="20"/>
  <c r="C82" i="20"/>
  <c r="D81" i="20"/>
  <c r="F81" i="20" s="1"/>
  <c r="C81" i="20"/>
  <c r="D80" i="20"/>
  <c r="C80" i="20"/>
  <c r="D79" i="20"/>
  <c r="C79" i="20"/>
  <c r="C78" i="20"/>
  <c r="B78" i="20"/>
  <c r="A78" i="20"/>
  <c r="D77" i="20"/>
  <c r="C77" i="20"/>
  <c r="D76" i="20"/>
  <c r="C76" i="20"/>
  <c r="D75" i="20"/>
  <c r="C75" i="20"/>
  <c r="D74" i="20"/>
  <c r="C74" i="20"/>
  <c r="D73" i="20"/>
  <c r="C73" i="20"/>
  <c r="D72" i="20"/>
  <c r="C72" i="20"/>
  <c r="C71" i="20"/>
  <c r="B71" i="20"/>
  <c r="A71" i="20"/>
  <c r="D70" i="20"/>
  <c r="G70" i="20" s="1"/>
  <c r="C70" i="20"/>
  <c r="B70" i="20"/>
  <c r="A70" i="20"/>
  <c r="D69" i="20"/>
  <c r="G69" i="20" s="1"/>
  <c r="C69" i="20"/>
  <c r="B69" i="20"/>
  <c r="A69" i="20"/>
  <c r="D66" i="20"/>
  <c r="C66" i="20"/>
  <c r="D53" i="20"/>
  <c r="C53" i="20"/>
  <c r="D49" i="20"/>
  <c r="C49" i="20"/>
  <c r="D42" i="20"/>
  <c r="G42" i="20" s="1"/>
  <c r="B42" i="20"/>
  <c r="A42" i="20"/>
  <c r="D41" i="20"/>
  <c r="F41" i="20" s="1"/>
  <c r="D40" i="20"/>
  <c r="D39" i="20"/>
  <c r="D38" i="20"/>
  <c r="G37" i="20"/>
  <c r="B37" i="20"/>
  <c r="A37" i="20"/>
  <c r="D36" i="20"/>
  <c r="D35" i="20"/>
  <c r="D34" i="20"/>
  <c r="D33" i="20"/>
  <c r="D24" i="20"/>
  <c r="C24" i="20"/>
  <c r="D15" i="20"/>
  <c r="F15" i="20" s="1"/>
  <c r="C15" i="20"/>
  <c r="D9" i="20"/>
  <c r="C9" i="20"/>
  <c r="D8" i="20"/>
  <c r="C8" i="20"/>
  <c r="D7" i="20"/>
  <c r="C7" i="20"/>
  <c r="D6" i="20"/>
  <c r="C6" i="20"/>
  <c r="D5" i="20"/>
  <c r="C5" i="20"/>
  <c r="D4" i="20"/>
  <c r="C4" i="20"/>
  <c r="D158" i="19"/>
  <c r="G158" i="19" s="1"/>
  <c r="B158" i="19"/>
  <c r="A158" i="19"/>
  <c r="D157" i="19"/>
  <c r="G157" i="19" s="1"/>
  <c r="B157" i="19"/>
  <c r="A157" i="19"/>
  <c r="D156" i="19"/>
  <c r="F156" i="19" s="1"/>
  <c r="C156" i="19"/>
  <c r="D144" i="19"/>
  <c r="F144" i="19" s="1"/>
  <c r="C144" i="19"/>
  <c r="D137" i="19"/>
  <c r="F137" i="19" s="1"/>
  <c r="C137" i="19"/>
  <c r="C123" i="19"/>
  <c r="B123" i="19"/>
  <c r="A123" i="19"/>
  <c r="D113" i="19"/>
  <c r="F113" i="19" s="1"/>
  <c r="C113" i="19"/>
  <c r="D112" i="19"/>
  <c r="F112" i="19" s="1"/>
  <c r="C112" i="19"/>
  <c r="D111" i="19"/>
  <c r="F111" i="19" s="1"/>
  <c r="C111" i="19"/>
  <c r="C110" i="19"/>
  <c r="B110" i="19"/>
  <c r="A110" i="19"/>
  <c r="D109" i="19"/>
  <c r="F109" i="19" s="1"/>
  <c r="C109" i="19"/>
  <c r="D108" i="19"/>
  <c r="F108" i="19" s="1"/>
  <c r="C108" i="19"/>
  <c r="D107" i="19"/>
  <c r="F107" i="19" s="1"/>
  <c r="C107" i="19"/>
  <c r="D106" i="19"/>
  <c r="F106" i="19" s="1"/>
  <c r="C106" i="19"/>
  <c r="D105" i="19"/>
  <c r="F105" i="19" s="1"/>
  <c r="C105" i="19"/>
  <c r="D104" i="19"/>
  <c r="F104" i="19" s="1"/>
  <c r="C104" i="19"/>
  <c r="C103" i="19"/>
  <c r="B103" i="19"/>
  <c r="A103" i="19"/>
  <c r="D102" i="19"/>
  <c r="F102" i="19" s="1"/>
  <c r="C102" i="19"/>
  <c r="D101" i="19"/>
  <c r="F101" i="19" s="1"/>
  <c r="C101" i="19"/>
  <c r="D100" i="19"/>
  <c r="F100" i="19" s="1"/>
  <c r="C100" i="19"/>
  <c r="D99" i="19"/>
  <c r="F99" i="19" s="1"/>
  <c r="C99" i="19"/>
  <c r="D98" i="19"/>
  <c r="F98" i="19" s="1"/>
  <c r="C98" i="19"/>
  <c r="C97" i="19"/>
  <c r="B97" i="19"/>
  <c r="A97" i="19"/>
  <c r="D96" i="19"/>
  <c r="F96" i="19" s="1"/>
  <c r="C96" i="19"/>
  <c r="D95" i="19"/>
  <c r="F95" i="19" s="1"/>
  <c r="G93" i="19" s="1"/>
  <c r="C95" i="19"/>
  <c r="D94" i="19"/>
  <c r="C94" i="19"/>
  <c r="C93" i="19"/>
  <c r="B93" i="19"/>
  <c r="A93" i="19"/>
  <c r="D92" i="19"/>
  <c r="C92" i="19"/>
  <c r="D91" i="19"/>
  <c r="C91" i="19"/>
  <c r="D90" i="19"/>
  <c r="C90" i="19"/>
  <c r="D89" i="19"/>
  <c r="C89" i="19"/>
  <c r="D88" i="19"/>
  <c r="C88" i="19"/>
  <c r="C87" i="19"/>
  <c r="B87" i="19"/>
  <c r="A87" i="19"/>
  <c r="D86" i="19"/>
  <c r="C86" i="19"/>
  <c r="D85" i="19"/>
  <c r="F85" i="19" s="1"/>
  <c r="C85" i="19"/>
  <c r="D84" i="19"/>
  <c r="C84" i="19"/>
  <c r="D83" i="19"/>
  <c r="C83" i="19"/>
  <c r="D82" i="19"/>
  <c r="C82" i="19"/>
  <c r="C81" i="19"/>
  <c r="B81" i="19"/>
  <c r="A81" i="19"/>
  <c r="D80" i="19"/>
  <c r="C80" i="19"/>
  <c r="D79" i="19"/>
  <c r="C79" i="19"/>
  <c r="D78" i="19"/>
  <c r="C78" i="19"/>
  <c r="D77" i="19"/>
  <c r="C77" i="19"/>
  <c r="D76" i="19"/>
  <c r="C76" i="19"/>
  <c r="C75" i="19"/>
  <c r="B75" i="19"/>
  <c r="A75" i="19"/>
  <c r="D74" i="19"/>
  <c r="C74" i="19"/>
  <c r="D73" i="19"/>
  <c r="C73" i="19"/>
  <c r="D72" i="19"/>
  <c r="C72" i="19"/>
  <c r="D71" i="19"/>
  <c r="C71" i="19"/>
  <c r="D70" i="19"/>
  <c r="C70" i="19"/>
  <c r="D69" i="19"/>
  <c r="C69" i="19"/>
  <c r="C68" i="19"/>
  <c r="B68" i="19"/>
  <c r="A68" i="19"/>
  <c r="D67" i="19"/>
  <c r="C67" i="19"/>
  <c r="B67" i="19"/>
  <c r="A67" i="19"/>
  <c r="D66" i="19"/>
  <c r="G66" i="19" s="1"/>
  <c r="C66" i="19"/>
  <c r="B66" i="19"/>
  <c r="A66" i="19"/>
  <c r="D63" i="19"/>
  <c r="C63" i="19"/>
  <c r="D54" i="19"/>
  <c r="C54" i="19"/>
  <c r="D53" i="19"/>
  <c r="C53" i="19"/>
  <c r="D52" i="19"/>
  <c r="C52" i="19"/>
  <c r="D51" i="19"/>
  <c r="C51" i="19"/>
  <c r="C50" i="19"/>
  <c r="B50" i="19"/>
  <c r="A50" i="19"/>
  <c r="D49" i="19"/>
  <c r="C49" i="19"/>
  <c r="D42" i="19"/>
  <c r="D41" i="19"/>
  <c r="D40" i="19"/>
  <c r="D39" i="19"/>
  <c r="G38" i="19"/>
  <c r="B38" i="19"/>
  <c r="A38" i="19"/>
  <c r="B37" i="19"/>
  <c r="A37" i="19"/>
  <c r="D36" i="19"/>
  <c r="D35" i="19"/>
  <c r="D34" i="19"/>
  <c r="D33" i="19"/>
  <c r="D27" i="19"/>
  <c r="C27" i="19"/>
  <c r="D17" i="19"/>
  <c r="F17" i="19" s="1"/>
  <c r="C17" i="19"/>
  <c r="D9" i="19"/>
  <c r="C9" i="19"/>
  <c r="D8" i="19"/>
  <c r="C8" i="19"/>
  <c r="D7" i="19"/>
  <c r="C7" i="19"/>
  <c r="D6" i="19"/>
  <c r="D5" i="19"/>
  <c r="C5" i="19"/>
  <c r="D4" i="19"/>
  <c r="C4" i="19"/>
  <c r="C3" i="19"/>
  <c r="B3" i="19"/>
  <c r="A3" i="19"/>
  <c r="B201" i="18"/>
  <c r="B200" i="18"/>
  <c r="D199" i="18"/>
  <c r="B199" i="18"/>
  <c r="A199" i="18"/>
  <c r="D198" i="18"/>
  <c r="C198" i="18"/>
  <c r="D183" i="18"/>
  <c r="F183" i="18" s="1"/>
  <c r="C183" i="18"/>
  <c r="D169" i="18"/>
  <c r="F169" i="18" s="1"/>
  <c r="C169" i="18"/>
  <c r="D154" i="18"/>
  <c r="F154" i="18" s="1"/>
  <c r="C154" i="18"/>
  <c r="D152" i="18"/>
  <c r="F152" i="18" s="1"/>
  <c r="C152" i="18"/>
  <c r="D151" i="18"/>
  <c r="F151" i="18" s="1"/>
  <c r="C151" i="18"/>
  <c r="D150" i="18"/>
  <c r="F150" i="18" s="1"/>
  <c r="G149" i="18" s="1"/>
  <c r="C150" i="18"/>
  <c r="C149" i="18"/>
  <c r="B149" i="18"/>
  <c r="A149" i="18"/>
  <c r="D148" i="18"/>
  <c r="F148" i="18" s="1"/>
  <c r="C148" i="18"/>
  <c r="D147" i="18"/>
  <c r="F147" i="18" s="1"/>
  <c r="C147" i="18"/>
  <c r="D146" i="18"/>
  <c r="F146" i="18" s="1"/>
  <c r="C146" i="18"/>
  <c r="D145" i="18"/>
  <c r="F145" i="18" s="1"/>
  <c r="C145" i="18"/>
  <c r="D144" i="18"/>
  <c r="F144" i="18" s="1"/>
  <c r="C144" i="18"/>
  <c r="D143" i="18"/>
  <c r="F143" i="18" s="1"/>
  <c r="G142" i="18" s="1"/>
  <c r="C143" i="18"/>
  <c r="C142" i="18"/>
  <c r="B142" i="18"/>
  <c r="A142" i="18"/>
  <c r="D141" i="18"/>
  <c r="F141" i="18" s="1"/>
  <c r="C141" i="18"/>
  <c r="D140" i="18"/>
  <c r="F140" i="18" s="1"/>
  <c r="C140" i="18"/>
  <c r="D139" i="18"/>
  <c r="F139" i="18" s="1"/>
  <c r="C139" i="18"/>
  <c r="D138" i="18"/>
  <c r="F138" i="18" s="1"/>
  <c r="C138" i="18"/>
  <c r="D137" i="18"/>
  <c r="F137" i="18" s="1"/>
  <c r="C137" i="18"/>
  <c r="D136" i="18"/>
  <c r="F136" i="18" s="1"/>
  <c r="C136" i="18"/>
  <c r="C135" i="18"/>
  <c r="B135" i="18"/>
  <c r="A135" i="18"/>
  <c r="D134" i="18"/>
  <c r="F134" i="18" s="1"/>
  <c r="C134" i="18"/>
  <c r="D133" i="18"/>
  <c r="F133" i="18" s="1"/>
  <c r="C133" i="18"/>
  <c r="D132" i="18"/>
  <c r="F132" i="18" s="1"/>
  <c r="C132" i="18"/>
  <c r="D131" i="18"/>
  <c r="F131" i="18" s="1"/>
  <c r="C131" i="18"/>
  <c r="D130" i="18"/>
  <c r="F130" i="18" s="1"/>
  <c r="C130" i="18"/>
  <c r="C129" i="18"/>
  <c r="B129" i="18"/>
  <c r="A129" i="18"/>
  <c r="D128" i="18"/>
  <c r="F128" i="18" s="1"/>
  <c r="C128" i="18"/>
  <c r="D127" i="18"/>
  <c r="F127" i="18" s="1"/>
  <c r="C127" i="18"/>
  <c r="D126" i="18"/>
  <c r="F126" i="18" s="1"/>
  <c r="C126" i="18"/>
  <c r="D125" i="18"/>
  <c r="F125" i="18" s="1"/>
  <c r="C125" i="18"/>
  <c r="D124" i="18"/>
  <c r="F124" i="18" s="1"/>
  <c r="C124" i="18"/>
  <c r="C123" i="18"/>
  <c r="B123" i="18"/>
  <c r="A123" i="18"/>
  <c r="D122" i="18"/>
  <c r="F122" i="18" s="1"/>
  <c r="C122" i="18"/>
  <c r="D121" i="18"/>
  <c r="F121" i="18" s="1"/>
  <c r="C121" i="18"/>
  <c r="D120" i="18"/>
  <c r="F120" i="18" s="1"/>
  <c r="C120" i="18"/>
  <c r="D119" i="18"/>
  <c r="F119" i="18" s="1"/>
  <c r="C119" i="18"/>
  <c r="D118" i="18"/>
  <c r="F118" i="18" s="1"/>
  <c r="C118" i="18"/>
  <c r="C117" i="18"/>
  <c r="B117" i="18"/>
  <c r="A117" i="18"/>
  <c r="D116" i="18"/>
  <c r="F116" i="18" s="1"/>
  <c r="C116" i="18"/>
  <c r="D115" i="18"/>
  <c r="F115" i="18" s="1"/>
  <c r="C115" i="18"/>
  <c r="D114" i="18"/>
  <c r="F114" i="18" s="1"/>
  <c r="C114" i="18"/>
  <c r="D113" i="18"/>
  <c r="F113" i="18" s="1"/>
  <c r="C113" i="18"/>
  <c r="D112" i="18"/>
  <c r="F112" i="18" s="1"/>
  <c r="C112" i="18"/>
  <c r="D111" i="18"/>
  <c r="F111" i="18" s="1"/>
  <c r="C111" i="18"/>
  <c r="C110" i="18"/>
  <c r="B110" i="18"/>
  <c r="A110" i="18"/>
  <c r="D107" i="18"/>
  <c r="F107" i="18" s="1"/>
  <c r="C107" i="18"/>
  <c r="D98" i="18"/>
  <c r="F98" i="18" s="1"/>
  <c r="C98" i="18"/>
  <c r="C85" i="18"/>
  <c r="D75" i="18"/>
  <c r="F75" i="18" s="1"/>
  <c r="C75" i="18"/>
  <c r="D71" i="18"/>
  <c r="C71" i="18"/>
  <c r="D70" i="18"/>
  <c r="C70" i="18"/>
  <c r="D69" i="18"/>
  <c r="C69" i="18"/>
  <c r="D68" i="18"/>
  <c r="C68" i="18"/>
  <c r="C67" i="18"/>
  <c r="B67" i="18"/>
  <c r="A67" i="18"/>
  <c r="D66" i="18"/>
  <c r="C66" i="18"/>
  <c r="D58" i="18"/>
  <c r="D57" i="18"/>
  <c r="D56" i="18"/>
  <c r="D55" i="18"/>
  <c r="F55" i="18" s="1"/>
  <c r="G54" i="18"/>
  <c r="B54" i="18"/>
  <c r="A54" i="18"/>
  <c r="B53" i="18"/>
  <c r="A53" i="18"/>
  <c r="D52" i="18"/>
  <c r="D51" i="18"/>
  <c r="F51" i="18" s="1"/>
  <c r="D50" i="18"/>
  <c r="B49" i="18"/>
  <c r="A49" i="18"/>
  <c r="D48" i="18"/>
  <c r="D47" i="18"/>
  <c r="D46" i="18"/>
  <c r="D45" i="18"/>
  <c r="D43" i="18"/>
  <c r="C43" i="18"/>
  <c r="D33" i="18"/>
  <c r="C33" i="18"/>
  <c r="C19" i="18"/>
  <c r="B19" i="18"/>
  <c r="A19" i="18"/>
  <c r="C11" i="18"/>
  <c r="B11" i="18"/>
  <c r="A11" i="18"/>
  <c r="B146" i="15"/>
  <c r="B145" i="15"/>
  <c r="B144" i="15"/>
  <c r="B143" i="15"/>
  <c r="B142" i="15"/>
  <c r="B141" i="15"/>
  <c r="B138" i="15"/>
  <c r="A138" i="15"/>
  <c r="D132" i="15"/>
  <c r="F132" i="15" s="1"/>
  <c r="C132" i="15"/>
  <c r="D116" i="15"/>
  <c r="F116" i="15" s="1"/>
  <c r="C116" i="15"/>
  <c r="D114" i="15"/>
  <c r="F114" i="15" s="1"/>
  <c r="C114" i="15"/>
  <c r="C113" i="15"/>
  <c r="B113" i="15"/>
  <c r="A113" i="15"/>
  <c r="D110" i="15"/>
  <c r="F110" i="15" s="1"/>
  <c r="C110" i="15"/>
  <c r="D108" i="15"/>
  <c r="F108" i="15" s="1"/>
  <c r="C108" i="15"/>
  <c r="D107" i="15"/>
  <c r="F107" i="15" s="1"/>
  <c r="C107" i="15"/>
  <c r="D106" i="15"/>
  <c r="F106" i="15" s="1"/>
  <c r="G105" i="15" s="1"/>
  <c r="C106" i="15"/>
  <c r="C105" i="15"/>
  <c r="B105" i="15"/>
  <c r="A105" i="15"/>
  <c r="D104" i="15"/>
  <c r="F104" i="15" s="1"/>
  <c r="C104" i="15"/>
  <c r="D103" i="15"/>
  <c r="F103" i="15" s="1"/>
  <c r="C103" i="15"/>
  <c r="D102" i="15"/>
  <c r="F102" i="15" s="1"/>
  <c r="C102" i="15"/>
  <c r="D101" i="15"/>
  <c r="F101" i="15" s="1"/>
  <c r="C101" i="15"/>
  <c r="D100" i="15"/>
  <c r="F100" i="15" s="1"/>
  <c r="C100" i="15"/>
  <c r="D99" i="15"/>
  <c r="F99" i="15" s="1"/>
  <c r="G98" i="15" s="1"/>
  <c r="C99" i="15"/>
  <c r="C98" i="15"/>
  <c r="B98" i="15"/>
  <c r="A98" i="15"/>
  <c r="D97" i="15"/>
  <c r="F97" i="15" s="1"/>
  <c r="C97" i="15"/>
  <c r="D96" i="15"/>
  <c r="F96" i="15" s="1"/>
  <c r="C96" i="15"/>
  <c r="D95" i="15"/>
  <c r="F95" i="15" s="1"/>
  <c r="C95" i="15"/>
  <c r="D94" i="15"/>
  <c r="C94" i="15"/>
  <c r="D93" i="15"/>
  <c r="C93" i="15"/>
  <c r="C92" i="15"/>
  <c r="B92" i="15"/>
  <c r="A92" i="15"/>
  <c r="D91" i="15"/>
  <c r="C91" i="15"/>
  <c r="D90" i="15"/>
  <c r="C90" i="15"/>
  <c r="D89" i="15"/>
  <c r="C89" i="15"/>
  <c r="C88" i="15"/>
  <c r="B88" i="15"/>
  <c r="A88" i="15"/>
  <c r="D87" i="15"/>
  <c r="C87" i="15"/>
  <c r="D86" i="15"/>
  <c r="F86" i="15" s="1"/>
  <c r="C86" i="15"/>
  <c r="D85" i="15"/>
  <c r="C85" i="15"/>
  <c r="D84" i="15"/>
  <c r="C84" i="15"/>
  <c r="D83" i="15"/>
  <c r="C83" i="15"/>
  <c r="C82" i="15"/>
  <c r="B82" i="15"/>
  <c r="A82" i="15"/>
  <c r="D81" i="15"/>
  <c r="C81" i="15"/>
  <c r="D80" i="15"/>
  <c r="C80" i="15"/>
  <c r="D79" i="15"/>
  <c r="C79" i="15"/>
  <c r="D78" i="15"/>
  <c r="C78" i="15"/>
  <c r="D77" i="15"/>
  <c r="C77" i="15"/>
  <c r="C76" i="15"/>
  <c r="B76" i="15"/>
  <c r="A76" i="15"/>
  <c r="D75" i="15"/>
  <c r="C75" i="15"/>
  <c r="D74" i="15"/>
  <c r="C74" i="15"/>
  <c r="D73" i="15"/>
  <c r="C73" i="15"/>
  <c r="D72" i="15"/>
  <c r="C72" i="15"/>
  <c r="D71" i="15"/>
  <c r="C71" i="15"/>
  <c r="C70" i="15"/>
  <c r="B70" i="15"/>
  <c r="A70" i="15"/>
  <c r="D69" i="15"/>
  <c r="C69" i="15"/>
  <c r="D68" i="15"/>
  <c r="C68" i="15"/>
  <c r="D67" i="15"/>
  <c r="C67" i="15"/>
  <c r="D66" i="15"/>
  <c r="F66" i="15" s="1"/>
  <c r="C66" i="15"/>
  <c r="D65" i="15"/>
  <c r="C65" i="15"/>
  <c r="C64" i="15"/>
  <c r="B64" i="15"/>
  <c r="A64" i="15"/>
  <c r="D63" i="15"/>
  <c r="C63" i="15"/>
  <c r="D62" i="15"/>
  <c r="C62" i="15"/>
  <c r="D61" i="15"/>
  <c r="C61" i="15"/>
  <c r="D60" i="15"/>
  <c r="C60" i="15"/>
  <c r="D59" i="15"/>
  <c r="C59" i="15"/>
  <c r="D58" i="15"/>
  <c r="C58" i="15"/>
  <c r="C57" i="15"/>
  <c r="B57" i="15"/>
  <c r="A57" i="15"/>
  <c r="D56" i="15"/>
  <c r="F56" i="15" s="1"/>
  <c r="C56" i="15"/>
  <c r="D55" i="15"/>
  <c r="C55" i="15"/>
  <c r="C54" i="15"/>
  <c r="B54" i="15"/>
  <c r="A54" i="15"/>
  <c r="D52" i="15"/>
  <c r="C52" i="15"/>
  <c r="B39" i="15"/>
  <c r="A39" i="15"/>
  <c r="C33" i="15"/>
  <c r="D28" i="15"/>
  <c r="G28" i="15" s="1"/>
  <c r="C28" i="15"/>
  <c r="B28" i="15"/>
  <c r="A28" i="15"/>
  <c r="D27" i="15"/>
  <c r="C27" i="15"/>
  <c r="D26" i="15"/>
  <c r="C26" i="15"/>
  <c r="D25" i="15"/>
  <c r="C25" i="15"/>
  <c r="D24" i="15"/>
  <c r="C24" i="15"/>
  <c r="C23" i="15"/>
  <c r="B23" i="15"/>
  <c r="A23" i="15"/>
  <c r="D22" i="15"/>
  <c r="C22" i="15"/>
  <c r="B14" i="15"/>
  <c r="A14" i="15"/>
  <c r="D13" i="15"/>
  <c r="F13" i="15" s="1"/>
  <c r="D12" i="15"/>
  <c r="F12" i="15" s="1"/>
  <c r="D11" i="15"/>
  <c r="F11" i="15" s="1"/>
  <c r="B10" i="15"/>
  <c r="A10" i="15"/>
  <c r="D5" i="15"/>
  <c r="C5" i="15"/>
  <c r="B126" i="17"/>
  <c r="D116" i="17"/>
  <c r="F116" i="17" s="1"/>
  <c r="C116" i="17"/>
  <c r="D106" i="17"/>
  <c r="F106" i="17" s="1"/>
  <c r="C106" i="17"/>
  <c r="B103" i="17"/>
  <c r="A103" i="17"/>
  <c r="G102" i="17"/>
  <c r="D100" i="17"/>
  <c r="F100" i="17" s="1"/>
  <c r="C100" i="17"/>
  <c r="D76" i="17"/>
  <c r="C76" i="17"/>
  <c r="D74" i="17"/>
  <c r="C74" i="17"/>
  <c r="C73" i="17"/>
  <c r="B73" i="17"/>
  <c r="A73" i="17"/>
  <c r="D72" i="17"/>
  <c r="C72" i="17"/>
  <c r="D71" i="17"/>
  <c r="C71" i="17"/>
  <c r="D64" i="17"/>
  <c r="C64" i="17"/>
  <c r="D62" i="17"/>
  <c r="C62" i="17"/>
  <c r="D61" i="17"/>
  <c r="C61" i="17"/>
  <c r="D60" i="17"/>
  <c r="C60" i="17"/>
  <c r="C59" i="17"/>
  <c r="B59" i="17"/>
  <c r="A59" i="17"/>
  <c r="D58" i="17"/>
  <c r="C58" i="17"/>
  <c r="D57" i="17"/>
  <c r="C57" i="17"/>
  <c r="D56" i="17"/>
  <c r="C56" i="17"/>
  <c r="D55" i="17"/>
  <c r="F55" i="17" s="1"/>
  <c r="C55" i="17"/>
  <c r="D54" i="17"/>
  <c r="C54" i="17"/>
  <c r="D53" i="17"/>
  <c r="C53" i="17"/>
  <c r="C52" i="17"/>
  <c r="B52" i="17"/>
  <c r="A52" i="17"/>
  <c r="D51" i="17"/>
  <c r="C51" i="17"/>
  <c r="D50" i="17"/>
  <c r="C50" i="17"/>
  <c r="D49" i="17"/>
  <c r="C49" i="17"/>
  <c r="C48" i="17"/>
  <c r="B48" i="17"/>
  <c r="A48" i="17"/>
  <c r="D47" i="17"/>
  <c r="C47" i="17"/>
  <c r="D46" i="17"/>
  <c r="C46" i="17"/>
  <c r="D45" i="17"/>
  <c r="F45" i="17" s="1"/>
  <c r="C45" i="17"/>
  <c r="D44" i="17"/>
  <c r="C44" i="17"/>
  <c r="D43" i="17"/>
  <c r="C43" i="17"/>
  <c r="C42" i="17"/>
  <c r="B42" i="17"/>
  <c r="A42" i="17"/>
  <c r="D41" i="17"/>
  <c r="F41" i="17" s="1"/>
  <c r="C41" i="17"/>
  <c r="D40" i="17"/>
  <c r="C40" i="17"/>
  <c r="D39" i="17"/>
  <c r="C39" i="17"/>
  <c r="D38" i="17"/>
  <c r="C38" i="17"/>
  <c r="D37" i="17"/>
  <c r="C37" i="17"/>
  <c r="C36" i="17"/>
  <c r="B36" i="17"/>
  <c r="A36" i="17"/>
  <c r="D35" i="17"/>
  <c r="F35" i="17" s="1"/>
  <c r="C35" i="17"/>
  <c r="D34" i="17"/>
  <c r="C34" i="17"/>
  <c r="D33" i="17"/>
  <c r="C33" i="17"/>
  <c r="D32" i="17"/>
  <c r="C32" i="17"/>
  <c r="D31" i="17"/>
  <c r="C31" i="17"/>
  <c r="D30" i="17"/>
  <c r="C30" i="17"/>
  <c r="C29" i="17"/>
  <c r="B29" i="17"/>
  <c r="A29" i="17"/>
  <c r="D28" i="17"/>
  <c r="G28" i="17" s="1"/>
  <c r="C28" i="17"/>
  <c r="B28" i="17"/>
  <c r="A28" i="17"/>
  <c r="C22" i="17"/>
  <c r="B22" i="17"/>
  <c r="A22" i="17"/>
  <c r="D21" i="17"/>
  <c r="C21" i="17"/>
  <c r="D13" i="17"/>
  <c r="F13" i="17" s="1"/>
  <c r="D12" i="17"/>
  <c r="F12" i="17" s="1"/>
  <c r="D11" i="17"/>
  <c r="F11" i="17" s="1"/>
  <c r="D10" i="17"/>
  <c r="F10" i="17" s="1"/>
  <c r="B9" i="17"/>
  <c r="A9" i="17"/>
  <c r="B8" i="17"/>
  <c r="A8" i="17"/>
  <c r="D7" i="17"/>
  <c r="D6" i="17"/>
  <c r="D5" i="17"/>
  <c r="D4" i="17"/>
  <c r="B143" i="16"/>
  <c r="D133" i="16"/>
  <c r="F133" i="16" s="1"/>
  <c r="C133" i="16"/>
  <c r="D123" i="16"/>
  <c r="F123" i="16" s="1"/>
  <c r="C123" i="16"/>
  <c r="B120" i="16"/>
  <c r="A120" i="16"/>
  <c r="G118" i="16"/>
  <c r="D113" i="16"/>
  <c r="F113" i="16" s="1"/>
  <c r="C113" i="16"/>
  <c r="D94" i="16"/>
  <c r="C94" i="16"/>
  <c r="D92" i="16"/>
  <c r="C92" i="16"/>
  <c r="C91" i="16"/>
  <c r="B91" i="16"/>
  <c r="A91" i="16"/>
  <c r="D90" i="16"/>
  <c r="C90" i="16"/>
  <c r="D89" i="16"/>
  <c r="C89" i="16"/>
  <c r="D82" i="16"/>
  <c r="C82" i="16"/>
  <c r="D80" i="16"/>
  <c r="C80" i="16"/>
  <c r="D79" i="16"/>
  <c r="C79" i="16"/>
  <c r="D78" i="16"/>
  <c r="C78" i="16"/>
  <c r="C77" i="16"/>
  <c r="B77" i="16"/>
  <c r="A77" i="16"/>
  <c r="D76" i="16"/>
  <c r="C76" i="16"/>
  <c r="D75" i="16"/>
  <c r="C75" i="16"/>
  <c r="D74" i="16"/>
  <c r="C74" i="16"/>
  <c r="D73" i="16"/>
  <c r="F73" i="16" s="1"/>
  <c r="C73" i="16"/>
  <c r="D72" i="16"/>
  <c r="C72" i="16"/>
  <c r="D71" i="16"/>
  <c r="C71" i="16"/>
  <c r="C70" i="16"/>
  <c r="B70" i="16"/>
  <c r="A70" i="16"/>
  <c r="D69" i="16"/>
  <c r="C69" i="16"/>
  <c r="D68" i="16"/>
  <c r="C68" i="16"/>
  <c r="D67" i="16"/>
  <c r="C67" i="16"/>
  <c r="D66" i="16"/>
  <c r="C66" i="16"/>
  <c r="D65" i="16"/>
  <c r="C65" i="16"/>
  <c r="C64" i="16"/>
  <c r="B64" i="16"/>
  <c r="A64" i="16"/>
  <c r="D63" i="16"/>
  <c r="F63" i="16" s="1"/>
  <c r="C63" i="16"/>
  <c r="D62" i="16"/>
  <c r="C62" i="16"/>
  <c r="D61" i="16"/>
  <c r="C61" i="16"/>
  <c r="D60" i="16"/>
  <c r="C60" i="16"/>
  <c r="D59" i="16"/>
  <c r="C59" i="16"/>
  <c r="C58" i="16"/>
  <c r="B58" i="16"/>
  <c r="A58" i="16"/>
  <c r="D57" i="16"/>
  <c r="C57" i="16"/>
  <c r="D56" i="16"/>
  <c r="C56" i="16"/>
  <c r="D55" i="16"/>
  <c r="C55" i="16"/>
  <c r="D54" i="16"/>
  <c r="C54" i="16"/>
  <c r="D53" i="16"/>
  <c r="F53" i="16" s="1"/>
  <c r="C53" i="16"/>
  <c r="C52" i="16"/>
  <c r="B52" i="16"/>
  <c r="A52" i="16"/>
  <c r="D51" i="16"/>
  <c r="C51" i="16"/>
  <c r="D50" i="16"/>
  <c r="C50" i="16"/>
  <c r="D49" i="16"/>
  <c r="C49" i="16"/>
  <c r="D48" i="16"/>
  <c r="C48" i="16"/>
  <c r="D47" i="16"/>
  <c r="C47" i="16"/>
  <c r="C46" i="16"/>
  <c r="B46" i="16"/>
  <c r="A46" i="16"/>
  <c r="D45" i="16"/>
  <c r="C45" i="16"/>
  <c r="D44" i="16"/>
  <c r="C44" i="16"/>
  <c r="D43" i="16"/>
  <c r="F43" i="16" s="1"/>
  <c r="C43" i="16"/>
  <c r="D42" i="16"/>
  <c r="C42" i="16"/>
  <c r="D41" i="16"/>
  <c r="C41" i="16"/>
  <c r="D40" i="16"/>
  <c r="C40" i="16"/>
  <c r="C39" i="16"/>
  <c r="B39" i="16"/>
  <c r="A39" i="16"/>
  <c r="C33" i="16"/>
  <c r="B33" i="16"/>
  <c r="A33" i="16"/>
  <c r="D32" i="16"/>
  <c r="C32" i="16"/>
  <c r="D24" i="16"/>
  <c r="D23" i="16"/>
  <c r="F23" i="16" s="1"/>
  <c r="D22" i="16"/>
  <c r="D21" i="16"/>
  <c r="F21" i="16" s="1"/>
  <c r="B20" i="16"/>
  <c r="A20" i="16"/>
  <c r="D19" i="16"/>
  <c r="F19" i="16" s="1"/>
  <c r="D18" i="16"/>
  <c r="F18" i="16" s="1"/>
  <c r="D17" i="16"/>
  <c r="F17" i="16" s="1"/>
  <c r="B16" i="16"/>
  <c r="A16" i="16"/>
  <c r="D15" i="16"/>
  <c r="D14" i="16"/>
  <c r="D13" i="16"/>
  <c r="D12" i="16"/>
  <c r="D5" i="16"/>
  <c r="C5" i="16"/>
  <c r="C97" i="14"/>
  <c r="B97" i="14"/>
  <c r="A97" i="14"/>
  <c r="D90" i="14"/>
  <c r="C90" i="14"/>
  <c r="D88" i="14"/>
  <c r="C88" i="14"/>
  <c r="C87" i="14"/>
  <c r="B87" i="14"/>
  <c r="A87" i="14"/>
  <c r="D86" i="14"/>
  <c r="C86" i="14"/>
  <c r="D85" i="14"/>
  <c r="C85" i="14"/>
  <c r="D84" i="14"/>
  <c r="F84" i="14" s="1"/>
  <c r="C84" i="14"/>
  <c r="C83" i="14"/>
  <c r="B83" i="14"/>
  <c r="A83" i="14"/>
  <c r="D82" i="14"/>
  <c r="C82" i="14"/>
  <c r="D81" i="14"/>
  <c r="C81" i="14"/>
  <c r="D76" i="14"/>
  <c r="C76" i="14"/>
  <c r="D75" i="14"/>
  <c r="C75" i="14"/>
  <c r="D74" i="14"/>
  <c r="F74" i="14" s="1"/>
  <c r="C74" i="14"/>
  <c r="C73" i="14"/>
  <c r="B73" i="14"/>
  <c r="A73" i="14"/>
  <c r="D72" i="14"/>
  <c r="C72" i="14"/>
  <c r="D71" i="14"/>
  <c r="C71" i="14"/>
  <c r="D70" i="14"/>
  <c r="C70" i="14"/>
  <c r="D69" i="14"/>
  <c r="C69" i="14"/>
  <c r="D68" i="14"/>
  <c r="C68" i="14"/>
  <c r="D67" i="14"/>
  <c r="C67" i="14"/>
  <c r="C66" i="14"/>
  <c r="B66" i="14"/>
  <c r="A66" i="14"/>
  <c r="D65" i="14"/>
  <c r="C65" i="14"/>
  <c r="D64" i="14"/>
  <c r="F64" i="14" s="1"/>
  <c r="C64" i="14"/>
  <c r="D63" i="14"/>
  <c r="C63" i="14"/>
  <c r="D62" i="14"/>
  <c r="C62" i="14"/>
  <c r="D61" i="14"/>
  <c r="C61" i="14"/>
  <c r="D60" i="14"/>
  <c r="C60" i="14"/>
  <c r="C59" i="14"/>
  <c r="B59" i="14"/>
  <c r="A59" i="14"/>
  <c r="D52" i="14"/>
  <c r="C52" i="14"/>
  <c r="D51" i="14"/>
  <c r="C51" i="14"/>
  <c r="D50" i="14"/>
  <c r="C50" i="14"/>
  <c r="D49" i="14"/>
  <c r="C49" i="14"/>
  <c r="D48" i="14"/>
  <c r="F48" i="14" s="1"/>
  <c r="C48" i="14"/>
  <c r="C47" i="14"/>
  <c r="B47" i="14"/>
  <c r="A47" i="14"/>
  <c r="D46" i="14"/>
  <c r="C46" i="14"/>
  <c r="D45" i="14"/>
  <c r="C45" i="14"/>
  <c r="D44" i="14"/>
  <c r="C44" i="14"/>
  <c r="D43" i="14"/>
  <c r="C43" i="14"/>
  <c r="D42" i="14"/>
  <c r="C42" i="14"/>
  <c r="C41" i="14"/>
  <c r="B41" i="14"/>
  <c r="A41" i="14"/>
  <c r="D40" i="14"/>
  <c r="C40" i="14"/>
  <c r="D39" i="14"/>
  <c r="C39" i="14"/>
  <c r="D38" i="14"/>
  <c r="F38" i="14" s="1"/>
  <c r="C38" i="14"/>
  <c r="D37" i="14"/>
  <c r="C37" i="14"/>
  <c r="D36" i="14"/>
  <c r="C36" i="14"/>
  <c r="C35" i="14"/>
  <c r="B35" i="14"/>
  <c r="A35" i="14"/>
  <c r="D58" i="14"/>
  <c r="C58" i="14"/>
  <c r="D57" i="14"/>
  <c r="C57" i="14"/>
  <c r="D56" i="14"/>
  <c r="C56" i="14"/>
  <c r="D55" i="14"/>
  <c r="C55" i="14"/>
  <c r="D54" i="14"/>
  <c r="C54" i="14"/>
  <c r="C53" i="14"/>
  <c r="B53" i="14"/>
  <c r="A53" i="14"/>
  <c r="D33" i="14"/>
  <c r="C33" i="14"/>
  <c r="C18" i="14"/>
  <c r="B18" i="14"/>
  <c r="A18" i="14"/>
  <c r="D17" i="14"/>
  <c r="C17" i="14"/>
  <c r="B10" i="14"/>
  <c r="A10" i="14"/>
  <c r="D9" i="14"/>
  <c r="D8" i="14"/>
  <c r="D7" i="14"/>
  <c r="D6" i="14"/>
  <c r="D5" i="14"/>
  <c r="D4" i="14"/>
  <c r="B3" i="14"/>
  <c r="A3" i="14"/>
  <c r="D110" i="13"/>
  <c r="F110" i="13" s="1"/>
  <c r="C110" i="13"/>
  <c r="C96" i="13"/>
  <c r="B96" i="13"/>
  <c r="A96" i="13"/>
  <c r="D91" i="13"/>
  <c r="C91" i="13"/>
  <c r="D90" i="13"/>
  <c r="C90" i="13"/>
  <c r="D89" i="13"/>
  <c r="C89" i="13"/>
  <c r="C88" i="13"/>
  <c r="B88" i="13"/>
  <c r="A88" i="13"/>
  <c r="D87" i="13"/>
  <c r="C87" i="13"/>
  <c r="D86" i="13"/>
  <c r="C86" i="13"/>
  <c r="D81" i="13"/>
  <c r="C81" i="13"/>
  <c r="D80" i="13"/>
  <c r="C80" i="13"/>
  <c r="D79" i="13"/>
  <c r="C79" i="13"/>
  <c r="D78" i="13"/>
  <c r="C78" i="13"/>
  <c r="D77" i="13"/>
  <c r="C77" i="13"/>
  <c r="D76" i="13"/>
  <c r="C76" i="13"/>
  <c r="C75" i="13"/>
  <c r="B75" i="13"/>
  <c r="A75" i="13"/>
  <c r="D74" i="13"/>
  <c r="C74" i="13"/>
  <c r="D73" i="13"/>
  <c r="C73" i="13"/>
  <c r="D72" i="13"/>
  <c r="C72" i="13"/>
  <c r="D71" i="13"/>
  <c r="C71" i="13"/>
  <c r="D70" i="13"/>
  <c r="C70" i="13"/>
  <c r="D69" i="13"/>
  <c r="C69" i="13"/>
  <c r="C68" i="13"/>
  <c r="B68" i="13"/>
  <c r="A68" i="13"/>
  <c r="D67" i="13"/>
  <c r="C67" i="13"/>
  <c r="D66" i="13"/>
  <c r="C66" i="13"/>
  <c r="D65" i="13"/>
  <c r="F65" i="13" s="1"/>
  <c r="C65" i="13"/>
  <c r="D64" i="13"/>
  <c r="C64" i="13"/>
  <c r="D63" i="13"/>
  <c r="C63" i="13"/>
  <c r="C62" i="13"/>
  <c r="B62" i="13"/>
  <c r="A62" i="13"/>
  <c r="D61" i="13"/>
  <c r="C61" i="13"/>
  <c r="D60" i="13"/>
  <c r="C60" i="13"/>
  <c r="D59" i="13"/>
  <c r="C59" i="13"/>
  <c r="D58" i="13"/>
  <c r="C58" i="13"/>
  <c r="D57" i="13"/>
  <c r="C57" i="13"/>
  <c r="C56" i="13"/>
  <c r="B56" i="13"/>
  <c r="A56" i="13"/>
  <c r="D55" i="13"/>
  <c r="F55" i="13" s="1"/>
  <c r="C55" i="13"/>
  <c r="D54" i="13"/>
  <c r="C54" i="13"/>
  <c r="D53" i="13"/>
  <c r="C53" i="13"/>
  <c r="D52" i="13"/>
  <c r="C52" i="13"/>
  <c r="D51" i="13"/>
  <c r="C51" i="13"/>
  <c r="C50" i="13"/>
  <c r="B50" i="13"/>
  <c r="A50" i="13"/>
  <c r="D49" i="13"/>
  <c r="C49" i="13"/>
  <c r="D48" i="13"/>
  <c r="C48" i="13"/>
  <c r="D47" i="13"/>
  <c r="C47" i="13"/>
  <c r="D46" i="13"/>
  <c r="C46" i="13"/>
  <c r="D45" i="13"/>
  <c r="F45" i="13" s="1"/>
  <c r="C45" i="13"/>
  <c r="C44" i="13"/>
  <c r="B44" i="13"/>
  <c r="A44" i="13"/>
  <c r="D43" i="13"/>
  <c r="C43" i="13"/>
  <c r="D42" i="13"/>
  <c r="C42" i="13"/>
  <c r="D41" i="13"/>
  <c r="C41" i="13"/>
  <c r="D40" i="13"/>
  <c r="C40" i="13"/>
  <c r="D39" i="13"/>
  <c r="C39" i="13"/>
  <c r="C38" i="13"/>
  <c r="B38" i="13"/>
  <c r="A38" i="13"/>
  <c r="D37" i="13"/>
  <c r="C37" i="13"/>
  <c r="D36" i="13"/>
  <c r="C36" i="13"/>
  <c r="D35" i="13"/>
  <c r="F35" i="13" s="1"/>
  <c r="C35" i="13"/>
  <c r="D34" i="13"/>
  <c r="C34" i="13"/>
  <c r="C33" i="13"/>
  <c r="B33" i="13"/>
  <c r="A33" i="13"/>
  <c r="D31" i="13"/>
  <c r="C31" i="13"/>
  <c r="D25" i="13"/>
  <c r="F25" i="13" s="1"/>
  <c r="C25" i="13"/>
  <c r="D15" i="13"/>
  <c r="F15" i="13" s="1"/>
  <c r="C15" i="13"/>
  <c r="C11" i="13"/>
  <c r="B11" i="13"/>
  <c r="A11" i="13"/>
  <c r="D10" i="13"/>
  <c r="F10" i="13" s="1"/>
  <c r="C10" i="13"/>
  <c r="B3" i="13"/>
  <c r="A3" i="13"/>
  <c r="D201" i="11"/>
  <c r="C201" i="11"/>
  <c r="D191" i="11"/>
  <c r="G191" i="11" s="1"/>
  <c r="C191" i="11"/>
  <c r="B191" i="11"/>
  <c r="A191" i="11"/>
  <c r="C185" i="11"/>
  <c r="B185" i="11"/>
  <c r="A185" i="11"/>
  <c r="D184" i="11"/>
  <c r="F184" i="11" s="1"/>
  <c r="D183" i="11"/>
  <c r="F183" i="11" s="1"/>
  <c r="D182" i="11"/>
  <c r="F182" i="11" s="1"/>
  <c r="B181" i="11"/>
  <c r="A181" i="11"/>
  <c r="D180" i="11"/>
  <c r="F180" i="11" s="1"/>
  <c r="D179" i="11"/>
  <c r="F179" i="11" s="1"/>
  <c r="D178" i="11"/>
  <c r="F178" i="11" s="1"/>
  <c r="B177" i="11"/>
  <c r="A177" i="11"/>
  <c r="D176" i="11"/>
  <c r="F176" i="11" s="1"/>
  <c r="D175" i="11"/>
  <c r="F175" i="11" s="1"/>
  <c r="D174" i="11"/>
  <c r="F174" i="11" s="1"/>
  <c r="D173" i="11"/>
  <c r="F173" i="11" s="1"/>
  <c r="B172" i="11"/>
  <c r="A172" i="11"/>
  <c r="D171" i="11"/>
  <c r="D170" i="11"/>
  <c r="D169" i="11"/>
  <c r="D168" i="11"/>
  <c r="B167" i="11"/>
  <c r="A167" i="11"/>
  <c r="D166" i="11"/>
  <c r="D165" i="11"/>
  <c r="D164" i="11"/>
  <c r="D163" i="11"/>
  <c r="D159" i="11"/>
  <c r="F159" i="11" s="1"/>
  <c r="C159" i="11"/>
  <c r="D149" i="11"/>
  <c r="F149" i="11" s="1"/>
  <c r="C149" i="11"/>
  <c r="C134" i="11"/>
  <c r="B134" i="11"/>
  <c r="A134" i="11"/>
  <c r="D123" i="11"/>
  <c r="F123" i="11" s="1"/>
  <c r="C123" i="11"/>
  <c r="D121" i="11"/>
  <c r="F121" i="11" s="1"/>
  <c r="C121" i="11"/>
  <c r="C120" i="11"/>
  <c r="B120" i="11"/>
  <c r="A120" i="11"/>
  <c r="D119" i="11"/>
  <c r="F119" i="11" s="1"/>
  <c r="C119" i="11"/>
  <c r="D118" i="11"/>
  <c r="F118" i="11" s="1"/>
  <c r="C118" i="11"/>
  <c r="D117" i="11"/>
  <c r="F117" i="11" s="1"/>
  <c r="C117" i="11"/>
  <c r="C116" i="11"/>
  <c r="B116" i="11"/>
  <c r="A116" i="11"/>
  <c r="D115" i="11"/>
  <c r="C115" i="11"/>
  <c r="D114" i="11"/>
  <c r="F114" i="11" s="1"/>
  <c r="C114" i="11"/>
  <c r="D109" i="11"/>
  <c r="F109" i="11" s="1"/>
  <c r="C109" i="11"/>
  <c r="D108" i="11"/>
  <c r="F108" i="11" s="1"/>
  <c r="C108" i="11"/>
  <c r="D107" i="11"/>
  <c r="F107" i="11" s="1"/>
  <c r="G106" i="11" s="1"/>
  <c r="C107" i="11"/>
  <c r="C106" i="11"/>
  <c r="B106" i="11"/>
  <c r="A106" i="11"/>
  <c r="D105" i="11"/>
  <c r="F105" i="11" s="1"/>
  <c r="C105" i="11"/>
  <c r="D104" i="11"/>
  <c r="F104" i="11" s="1"/>
  <c r="C104" i="11"/>
  <c r="D103" i="11"/>
  <c r="F103" i="11" s="1"/>
  <c r="C103" i="11"/>
  <c r="D102" i="11"/>
  <c r="F102" i="11" s="1"/>
  <c r="C102" i="11"/>
  <c r="D101" i="11"/>
  <c r="F101" i="11" s="1"/>
  <c r="C101" i="11"/>
  <c r="D100" i="11"/>
  <c r="F100" i="11" s="1"/>
  <c r="C100" i="11"/>
  <c r="C99" i="11"/>
  <c r="B99" i="11"/>
  <c r="A99" i="11"/>
  <c r="D98" i="11"/>
  <c r="F98" i="11" s="1"/>
  <c r="C98" i="11"/>
  <c r="D97" i="11"/>
  <c r="F97" i="11" s="1"/>
  <c r="C97" i="11"/>
  <c r="D96" i="11"/>
  <c r="F96" i="11" s="1"/>
  <c r="C96" i="11"/>
  <c r="D95" i="11"/>
  <c r="F95" i="11" s="1"/>
  <c r="C95" i="11"/>
  <c r="D94" i="11"/>
  <c r="F94" i="11" s="1"/>
  <c r="C94" i="11"/>
  <c r="D93" i="11"/>
  <c r="F93" i="11" s="1"/>
  <c r="C93" i="11"/>
  <c r="C92" i="11"/>
  <c r="B92" i="11"/>
  <c r="A92" i="11"/>
  <c r="D91" i="11"/>
  <c r="C91" i="11"/>
  <c r="D90" i="11"/>
  <c r="C90" i="11"/>
  <c r="D89" i="11"/>
  <c r="C89" i="11"/>
  <c r="D88" i="11"/>
  <c r="C88" i="11"/>
  <c r="D87" i="11"/>
  <c r="C87" i="11"/>
  <c r="C86" i="11"/>
  <c r="B86" i="11"/>
  <c r="A86" i="11"/>
  <c r="D85" i="11"/>
  <c r="C85" i="11"/>
  <c r="D84" i="11"/>
  <c r="F84" i="11" s="1"/>
  <c r="C84" i="11"/>
  <c r="D83" i="11"/>
  <c r="C83" i="11"/>
  <c r="D82" i="11"/>
  <c r="C82" i="11"/>
  <c r="D81" i="11"/>
  <c r="C81" i="11"/>
  <c r="C80" i="11"/>
  <c r="B80" i="11"/>
  <c r="A80" i="11"/>
  <c r="D79" i="11"/>
  <c r="C79" i="11"/>
  <c r="D78" i="11"/>
  <c r="C78" i="11"/>
  <c r="D77" i="11"/>
  <c r="C77" i="11"/>
  <c r="D76" i="11"/>
  <c r="C76" i="11"/>
  <c r="D75" i="11"/>
  <c r="C75" i="11"/>
  <c r="C74" i="11"/>
  <c r="B74" i="11"/>
  <c r="A74" i="11"/>
  <c r="D73" i="11"/>
  <c r="C73" i="11"/>
  <c r="D72" i="11"/>
  <c r="C72" i="11"/>
  <c r="D71" i="11"/>
  <c r="C71" i="11"/>
  <c r="D70" i="11"/>
  <c r="C70" i="11"/>
  <c r="D69" i="11"/>
  <c r="C69" i="11"/>
  <c r="C68" i="11"/>
  <c r="B68" i="11"/>
  <c r="A68" i="11"/>
  <c r="D67" i="11"/>
  <c r="C67" i="11"/>
  <c r="D66" i="11"/>
  <c r="C66" i="11"/>
  <c r="D65" i="11"/>
  <c r="C65" i="11"/>
  <c r="D64" i="11"/>
  <c r="F64" i="11" s="1"/>
  <c r="C64" i="11"/>
  <c r="D63" i="11"/>
  <c r="C63" i="11"/>
  <c r="D62" i="11"/>
  <c r="C62" i="11"/>
  <c r="C61" i="11"/>
  <c r="B61" i="11"/>
  <c r="A61" i="11"/>
  <c r="D59" i="11"/>
  <c r="C59" i="11"/>
  <c r="D49" i="11"/>
  <c r="C49" i="11"/>
  <c r="C39" i="11"/>
  <c r="D34" i="11"/>
  <c r="G34" i="11" s="1"/>
  <c r="C34" i="11"/>
  <c r="B34" i="11"/>
  <c r="A34" i="11"/>
  <c r="D33" i="11"/>
  <c r="C33" i="11"/>
  <c r="B26" i="11"/>
  <c r="A26" i="11"/>
  <c r="D25" i="11"/>
  <c r="D24" i="11"/>
  <c r="D23" i="11"/>
  <c r="D22" i="11"/>
  <c r="D21" i="11"/>
  <c r="D20" i="11"/>
  <c r="F20" i="11" s="1"/>
  <c r="B19" i="11"/>
  <c r="A19" i="11"/>
  <c r="D18" i="11"/>
  <c r="F18" i="11" s="1"/>
  <c r="D17" i="11"/>
  <c r="F17" i="11" s="1"/>
  <c r="D16" i="11"/>
  <c r="F16" i="11" s="1"/>
  <c r="B15" i="11"/>
  <c r="A15" i="11"/>
  <c r="D14" i="11"/>
  <c r="F14" i="11" s="1"/>
  <c r="D13" i="11"/>
  <c r="F13" i="11" s="1"/>
  <c r="D12" i="11"/>
  <c r="F12" i="11" s="1"/>
  <c r="D11" i="11"/>
  <c r="F11" i="11" s="1"/>
  <c r="B10" i="11"/>
  <c r="A10" i="11"/>
  <c r="D140" i="10"/>
  <c r="F140" i="10" s="1"/>
  <c r="C140" i="10"/>
  <c r="G126" i="10"/>
  <c r="D126" i="10"/>
  <c r="C126" i="10"/>
  <c r="B126" i="10"/>
  <c r="A126" i="10"/>
  <c r="D125" i="10"/>
  <c r="F125" i="10" s="1"/>
  <c r="D124" i="10"/>
  <c r="F124" i="10" s="1"/>
  <c r="D123" i="10"/>
  <c r="F123" i="10" s="1"/>
  <c r="B122" i="10"/>
  <c r="A122" i="10"/>
  <c r="D121" i="10"/>
  <c r="F121" i="10" s="1"/>
  <c r="D120" i="10"/>
  <c r="F120" i="10" s="1"/>
  <c r="D119" i="10"/>
  <c r="F119" i="10" s="1"/>
  <c r="B118" i="10"/>
  <c r="A118" i="10"/>
  <c r="D117" i="10"/>
  <c r="F117" i="10" s="1"/>
  <c r="D116" i="10"/>
  <c r="F116" i="10" s="1"/>
  <c r="D115" i="10"/>
  <c r="F115" i="10" s="1"/>
  <c r="D114" i="10"/>
  <c r="F114" i="10" s="1"/>
  <c r="B113" i="10"/>
  <c r="A113" i="10"/>
  <c r="B108" i="10"/>
  <c r="A108" i="10"/>
  <c r="C96" i="10"/>
  <c r="B96" i="10"/>
  <c r="A96" i="10"/>
  <c r="D89" i="10"/>
  <c r="C89" i="10"/>
  <c r="D87" i="10"/>
  <c r="C87" i="10"/>
  <c r="C86" i="10"/>
  <c r="B86" i="10"/>
  <c r="A86" i="10"/>
  <c r="D85" i="10"/>
  <c r="F85" i="10" s="1"/>
  <c r="C85" i="10"/>
  <c r="D84" i="10"/>
  <c r="C84" i="10"/>
  <c r="D83" i="10"/>
  <c r="C83" i="10"/>
  <c r="C82" i="10"/>
  <c r="B82" i="10"/>
  <c r="A82" i="10"/>
  <c r="D81" i="10"/>
  <c r="C81" i="10"/>
  <c r="D80" i="10"/>
  <c r="C80" i="10"/>
  <c r="D74" i="10"/>
  <c r="C74" i="10"/>
  <c r="D73" i="10"/>
  <c r="C73" i="10"/>
  <c r="D72" i="10"/>
  <c r="C72" i="10"/>
  <c r="C71" i="10"/>
  <c r="B71" i="10"/>
  <c r="A71" i="10"/>
  <c r="D70" i="10"/>
  <c r="C70" i="10"/>
  <c r="D69" i="10"/>
  <c r="C69" i="10"/>
  <c r="D68" i="10"/>
  <c r="C68" i="10"/>
  <c r="D67" i="10"/>
  <c r="C67" i="10"/>
  <c r="D66" i="10"/>
  <c r="C66" i="10"/>
  <c r="D65" i="10"/>
  <c r="F65" i="10" s="1"/>
  <c r="C65" i="10"/>
  <c r="C64" i="10"/>
  <c r="B64" i="10"/>
  <c r="A64" i="10"/>
  <c r="D63" i="10"/>
  <c r="C63" i="10"/>
  <c r="D62" i="10"/>
  <c r="C62" i="10"/>
  <c r="D61" i="10"/>
  <c r="C61" i="10"/>
  <c r="D60" i="10"/>
  <c r="C60" i="10"/>
  <c r="D59" i="10"/>
  <c r="C59" i="10"/>
  <c r="D58" i="10"/>
  <c r="C58" i="10"/>
  <c r="C57" i="10"/>
  <c r="B57" i="10"/>
  <c r="A57" i="10"/>
  <c r="D56" i="10"/>
  <c r="C56" i="10"/>
  <c r="D55" i="10"/>
  <c r="F55" i="10" s="1"/>
  <c r="C55" i="10"/>
  <c r="D54" i="10"/>
  <c r="C54" i="10"/>
  <c r="D53" i="10"/>
  <c r="C53" i="10"/>
  <c r="D52" i="10"/>
  <c r="C52" i="10"/>
  <c r="C51" i="10"/>
  <c r="B51" i="10"/>
  <c r="A51" i="10"/>
  <c r="D50" i="10"/>
  <c r="C50" i="10"/>
  <c r="D49" i="10"/>
  <c r="C49" i="10"/>
  <c r="D48" i="10"/>
  <c r="C48" i="10"/>
  <c r="D47" i="10"/>
  <c r="C47" i="10"/>
  <c r="D46" i="10"/>
  <c r="C46" i="10"/>
  <c r="C45" i="10"/>
  <c r="B45" i="10"/>
  <c r="A45" i="10"/>
  <c r="D44" i="10"/>
  <c r="C44" i="10"/>
  <c r="D43" i="10"/>
  <c r="C43" i="10"/>
  <c r="D42" i="10"/>
  <c r="C42" i="10"/>
  <c r="D41" i="10"/>
  <c r="C41" i="10"/>
  <c r="D40" i="10"/>
  <c r="C40" i="10"/>
  <c r="C39" i="10"/>
  <c r="B39" i="10"/>
  <c r="A39" i="10"/>
  <c r="D38" i="10"/>
  <c r="C38" i="10"/>
  <c r="D37" i="10"/>
  <c r="C37" i="10"/>
  <c r="D36" i="10"/>
  <c r="C36" i="10"/>
  <c r="D35" i="10"/>
  <c r="F35" i="10" s="1"/>
  <c r="C35" i="10"/>
  <c r="D34" i="10"/>
  <c r="C34" i="10"/>
  <c r="D33" i="10"/>
  <c r="C33" i="10"/>
  <c r="C32" i="10"/>
  <c r="B32" i="10"/>
  <c r="A32" i="10"/>
  <c r="D31" i="10"/>
  <c r="G31" i="10" s="1"/>
  <c r="C31" i="10"/>
  <c r="B31" i="10"/>
  <c r="A31" i="10"/>
  <c r="D29" i="10"/>
  <c r="C29" i="10"/>
  <c r="D23" i="10"/>
  <c r="C23" i="10"/>
  <c r="B15" i="10"/>
  <c r="A15" i="10"/>
  <c r="D14" i="10"/>
  <c r="F14" i="10" s="1"/>
  <c r="D13" i="10"/>
  <c r="F13" i="10" s="1"/>
  <c r="D12" i="10"/>
  <c r="F12" i="10" s="1"/>
  <c r="D11" i="10"/>
  <c r="F11" i="10" s="1"/>
  <c r="D10" i="10"/>
  <c r="F10" i="10" s="1"/>
  <c r="D9" i="10"/>
  <c r="B8" i="10"/>
  <c r="A8" i="10"/>
  <c r="D7" i="10"/>
  <c r="D6" i="10"/>
  <c r="D5" i="10"/>
  <c r="D4" i="10"/>
  <c r="B3" i="10"/>
  <c r="A3" i="10"/>
  <c r="B144" i="9"/>
  <c r="A144" i="9"/>
  <c r="D137" i="9"/>
  <c r="F137" i="9" s="1"/>
  <c r="C137" i="9"/>
  <c r="D132" i="9"/>
  <c r="G132" i="9" s="1"/>
  <c r="C132" i="9"/>
  <c r="B132" i="9"/>
  <c r="A132" i="9"/>
  <c r="D131" i="9"/>
  <c r="F131" i="9" s="1"/>
  <c r="C131" i="9"/>
  <c r="D130" i="9"/>
  <c r="F130" i="9" s="1"/>
  <c r="C130" i="9"/>
  <c r="D129" i="9"/>
  <c r="F129" i="9" s="1"/>
  <c r="C129" i="9"/>
  <c r="D128" i="9"/>
  <c r="F128" i="9" s="1"/>
  <c r="C128" i="9"/>
  <c r="D127" i="9"/>
  <c r="F127" i="9" s="1"/>
  <c r="C127" i="9"/>
  <c r="C126" i="9"/>
  <c r="B126" i="9"/>
  <c r="A126" i="9"/>
  <c r="D125" i="9"/>
  <c r="F125" i="9" s="1"/>
  <c r="C125" i="9"/>
  <c r="D124" i="9"/>
  <c r="F124" i="9" s="1"/>
  <c r="C124" i="9"/>
  <c r="D123" i="9"/>
  <c r="F123" i="9" s="1"/>
  <c r="C123" i="9"/>
  <c r="D122" i="9"/>
  <c r="F122" i="9" s="1"/>
  <c r="C122" i="9"/>
  <c r="D121" i="9"/>
  <c r="F121" i="9" s="1"/>
  <c r="C121" i="9"/>
  <c r="D120" i="9"/>
  <c r="F120" i="9" s="1"/>
  <c r="C120" i="9"/>
  <c r="G119" i="9"/>
  <c r="C119" i="9"/>
  <c r="B119" i="9"/>
  <c r="A119" i="9"/>
  <c r="D118" i="9"/>
  <c r="F118" i="9" s="1"/>
  <c r="D117" i="9"/>
  <c r="F117" i="9" s="1"/>
  <c r="D116" i="9"/>
  <c r="F116" i="9" s="1"/>
  <c r="B115" i="9"/>
  <c r="A115" i="9"/>
  <c r="D114" i="9"/>
  <c r="F114" i="9" s="1"/>
  <c r="D113" i="9"/>
  <c r="F113" i="9" s="1"/>
  <c r="D112" i="9"/>
  <c r="F112" i="9" s="1"/>
  <c r="B111" i="9"/>
  <c r="A111" i="9"/>
  <c r="D110" i="9"/>
  <c r="F110" i="9" s="1"/>
  <c r="D109" i="9"/>
  <c r="F109" i="9" s="1"/>
  <c r="D108" i="9"/>
  <c r="F108" i="9" s="1"/>
  <c r="D107" i="9"/>
  <c r="F107" i="9" s="1"/>
  <c r="B106" i="9"/>
  <c r="A106" i="9"/>
  <c r="D105" i="9"/>
  <c r="D104" i="9"/>
  <c r="D103" i="9"/>
  <c r="D102" i="9"/>
  <c r="B101" i="9"/>
  <c r="A101" i="9"/>
  <c r="D100" i="9"/>
  <c r="D99" i="9"/>
  <c r="D98" i="9"/>
  <c r="D97" i="9"/>
  <c r="C89" i="9"/>
  <c r="B89" i="9"/>
  <c r="A89" i="9"/>
  <c r="D86" i="9"/>
  <c r="C86" i="9"/>
  <c r="D84" i="9"/>
  <c r="C84" i="9"/>
  <c r="C83" i="9"/>
  <c r="B83" i="9"/>
  <c r="A83" i="9"/>
  <c r="D82" i="9"/>
  <c r="C82" i="9"/>
  <c r="D81" i="9"/>
  <c r="C81" i="9"/>
  <c r="D80" i="9"/>
  <c r="C80" i="9"/>
  <c r="C79" i="9"/>
  <c r="B79" i="9"/>
  <c r="A79" i="9"/>
  <c r="D78" i="9"/>
  <c r="C78" i="9"/>
  <c r="D77" i="9"/>
  <c r="C77" i="9"/>
  <c r="D72" i="9"/>
  <c r="C72" i="9"/>
  <c r="D71" i="9"/>
  <c r="C71" i="9"/>
  <c r="D70" i="9"/>
  <c r="C70" i="9"/>
  <c r="C69" i="9"/>
  <c r="B69" i="9"/>
  <c r="A69" i="9"/>
  <c r="D68" i="9"/>
  <c r="C68" i="9"/>
  <c r="D67" i="9"/>
  <c r="C67" i="9"/>
  <c r="D66" i="9"/>
  <c r="C66" i="9"/>
  <c r="D65" i="9"/>
  <c r="F65" i="9" s="1"/>
  <c r="C65" i="9"/>
  <c r="D64" i="9"/>
  <c r="C64" i="9"/>
  <c r="C63" i="9"/>
  <c r="B63" i="9"/>
  <c r="A63" i="9"/>
  <c r="D62" i="9"/>
  <c r="C62" i="9"/>
  <c r="D61" i="9"/>
  <c r="C61" i="9"/>
  <c r="D60" i="9"/>
  <c r="C60" i="9"/>
  <c r="D59" i="9"/>
  <c r="C59" i="9"/>
  <c r="D58" i="9"/>
  <c r="C58" i="9"/>
  <c r="D57" i="9"/>
  <c r="C57" i="9"/>
  <c r="C56" i="9"/>
  <c r="B56" i="9"/>
  <c r="A56" i="9"/>
  <c r="D55" i="9"/>
  <c r="F55" i="9" s="1"/>
  <c r="C55" i="9"/>
  <c r="D54" i="9"/>
  <c r="C54" i="9"/>
  <c r="D53" i="9"/>
  <c r="C53" i="9"/>
  <c r="D52" i="9"/>
  <c r="C52" i="9"/>
  <c r="D51" i="9"/>
  <c r="C51" i="9"/>
  <c r="D50" i="9"/>
  <c r="C50" i="9"/>
  <c r="C49" i="9"/>
  <c r="B49" i="9"/>
  <c r="A49" i="9"/>
  <c r="D48" i="9"/>
  <c r="C48" i="9"/>
  <c r="D47" i="9"/>
  <c r="C47" i="9"/>
  <c r="D46" i="9"/>
  <c r="C46" i="9"/>
  <c r="D45" i="9"/>
  <c r="F45" i="9" s="1"/>
  <c r="C45" i="9"/>
  <c r="D44" i="9"/>
  <c r="C44" i="9"/>
  <c r="C43" i="9"/>
  <c r="B43" i="9"/>
  <c r="A43" i="9"/>
  <c r="D42" i="9"/>
  <c r="C42" i="9"/>
  <c r="D41" i="9"/>
  <c r="C41" i="9"/>
  <c r="D40" i="9"/>
  <c r="C40" i="9"/>
  <c r="D39" i="9"/>
  <c r="C39" i="9"/>
  <c r="D38" i="9"/>
  <c r="C38" i="9"/>
  <c r="C37" i="9"/>
  <c r="B37" i="9"/>
  <c r="A37" i="9"/>
  <c r="D36" i="9"/>
  <c r="C36" i="9"/>
  <c r="D35" i="9"/>
  <c r="F35" i="9" s="1"/>
  <c r="C35" i="9"/>
  <c r="D34" i="9"/>
  <c r="C34" i="9"/>
  <c r="D33" i="9"/>
  <c r="C33" i="9"/>
  <c r="D32" i="9"/>
  <c r="C32" i="9"/>
  <c r="C31" i="9"/>
  <c r="B31" i="9"/>
  <c r="A31" i="9"/>
  <c r="D30" i="9"/>
  <c r="C30" i="9"/>
  <c r="D29" i="9"/>
  <c r="C29" i="9"/>
  <c r="D28" i="9"/>
  <c r="C28" i="9"/>
  <c r="D27" i="9"/>
  <c r="C27" i="9"/>
  <c r="D26" i="9"/>
  <c r="C26" i="9"/>
  <c r="C25" i="9"/>
  <c r="B25" i="9"/>
  <c r="A25" i="9"/>
  <c r="D23" i="9"/>
  <c r="C23" i="9"/>
  <c r="B15" i="9"/>
  <c r="A15" i="9"/>
  <c r="B3" i="9"/>
  <c r="A3" i="9"/>
  <c r="B62" i="12"/>
  <c r="D61" i="12"/>
  <c r="C61" i="12"/>
  <c r="B61" i="12"/>
  <c r="A61" i="12"/>
  <c r="D60" i="12"/>
  <c r="C60" i="12"/>
  <c r="D59" i="12"/>
  <c r="C59" i="12"/>
  <c r="D54" i="12"/>
  <c r="G54" i="12" s="1"/>
  <c r="C54" i="12"/>
  <c r="B54" i="12"/>
  <c r="A54" i="12"/>
  <c r="B53" i="12"/>
  <c r="A53" i="12"/>
  <c r="D52" i="12"/>
  <c r="D51" i="12"/>
  <c r="D50" i="12"/>
  <c r="B49" i="12"/>
  <c r="A49" i="12"/>
  <c r="D48" i="12"/>
  <c r="F48" i="12" s="1"/>
  <c r="D47" i="12"/>
  <c r="D46" i="12"/>
  <c r="B45" i="12"/>
  <c r="A45" i="12"/>
  <c r="D38" i="12"/>
  <c r="C38" i="12"/>
  <c r="D37" i="12"/>
  <c r="C37" i="12"/>
  <c r="D36" i="12"/>
  <c r="C36" i="12"/>
  <c r="D35" i="12"/>
  <c r="C35" i="12"/>
  <c r="D34" i="12"/>
  <c r="C34" i="12"/>
  <c r="D33" i="12"/>
  <c r="C33" i="12"/>
  <c r="C32" i="12"/>
  <c r="B32" i="12"/>
  <c r="A32" i="12"/>
  <c r="D31" i="12"/>
  <c r="F31" i="12" s="1"/>
  <c r="C31" i="12"/>
  <c r="D30" i="12"/>
  <c r="C30" i="12"/>
  <c r="D29" i="12"/>
  <c r="C29" i="12"/>
  <c r="D28" i="12"/>
  <c r="C28" i="12"/>
  <c r="D27" i="12"/>
  <c r="C27" i="12"/>
  <c r="C26" i="12"/>
  <c r="B26" i="12"/>
  <c r="A26" i="12"/>
  <c r="D25" i="12"/>
  <c r="C25" i="12"/>
  <c r="D24" i="12"/>
  <c r="C24" i="12"/>
  <c r="D23" i="12"/>
  <c r="C23" i="12"/>
  <c r="D22" i="12"/>
  <c r="C22" i="12"/>
  <c r="D21" i="12"/>
  <c r="F21" i="12" s="1"/>
  <c r="C21" i="12"/>
  <c r="C20" i="12"/>
  <c r="B20" i="12"/>
  <c r="A20" i="12"/>
  <c r="D19" i="12"/>
  <c r="F19" i="12" s="1"/>
  <c r="C19" i="12"/>
  <c r="D18" i="12"/>
  <c r="F18" i="12" s="1"/>
  <c r="C18" i="12"/>
  <c r="D17" i="12"/>
  <c r="F17" i="12" s="1"/>
  <c r="C17" i="12"/>
  <c r="D16" i="12"/>
  <c r="F16" i="12" s="1"/>
  <c r="C16" i="12"/>
  <c r="D15" i="12"/>
  <c r="F15" i="12" s="1"/>
  <c r="C15" i="12"/>
  <c r="C14" i="12"/>
  <c r="B14" i="12"/>
  <c r="A14" i="12"/>
  <c r="F13" i="12"/>
  <c r="C13" i="12"/>
  <c r="F12" i="12"/>
  <c r="C12" i="12"/>
  <c r="D11" i="12"/>
  <c r="F11" i="12" s="1"/>
  <c r="C11" i="12"/>
  <c r="D10" i="12"/>
  <c r="F10" i="12" s="1"/>
  <c r="C10" i="12"/>
  <c r="D9" i="12"/>
  <c r="C9" i="12"/>
  <c r="D8" i="12"/>
  <c r="C8" i="12"/>
  <c r="C7" i="12"/>
  <c r="B7" i="12"/>
  <c r="A7" i="12"/>
  <c r="D6" i="12"/>
  <c r="D5" i="12"/>
  <c r="D4" i="12"/>
  <c r="B3" i="12"/>
  <c r="A3" i="12"/>
  <c r="D31" i="31"/>
  <c r="F31" i="31" s="1"/>
  <c r="C31" i="31"/>
  <c r="D30" i="31"/>
  <c r="C30" i="31"/>
  <c r="D25" i="31"/>
  <c r="C25" i="31"/>
  <c r="D24" i="31"/>
  <c r="C24" i="31"/>
  <c r="D23" i="31"/>
  <c r="C23" i="31"/>
  <c r="D22" i="31"/>
  <c r="C22" i="31"/>
  <c r="D21" i="31"/>
  <c r="F21" i="31" s="1"/>
  <c r="C21" i="31"/>
  <c r="C20" i="31"/>
  <c r="B20" i="31"/>
  <c r="A20" i="31"/>
  <c r="D18" i="31"/>
  <c r="F18" i="31" s="1"/>
  <c r="C18" i="31"/>
  <c r="D13" i="31"/>
  <c r="F13" i="31" s="1"/>
  <c r="C13" i="31"/>
  <c r="D6" i="31"/>
  <c r="D5" i="31"/>
  <c r="D4" i="31"/>
  <c r="B3" i="31"/>
  <c r="A3" i="31"/>
  <c r="D87" i="8"/>
  <c r="D86" i="8"/>
  <c r="D85" i="8"/>
  <c r="F85" i="8" s="1"/>
  <c r="B84" i="8"/>
  <c r="D83" i="8"/>
  <c r="D82" i="8"/>
  <c r="D81" i="8"/>
  <c r="B80" i="8"/>
  <c r="A79" i="8"/>
  <c r="C68" i="8"/>
  <c r="B68" i="8"/>
  <c r="A68" i="8"/>
  <c r="D61" i="8"/>
  <c r="C61" i="8"/>
  <c r="D59" i="8"/>
  <c r="C59" i="8"/>
  <c r="C58" i="8"/>
  <c r="B58" i="8"/>
  <c r="A58" i="8"/>
  <c r="D57" i="8"/>
  <c r="C57" i="8"/>
  <c r="D56" i="8"/>
  <c r="C56" i="8"/>
  <c r="D55" i="8"/>
  <c r="F55" i="8" s="1"/>
  <c r="C55" i="8"/>
  <c r="C54" i="8"/>
  <c r="B54" i="8"/>
  <c r="A54" i="8"/>
  <c r="D53" i="8"/>
  <c r="C53" i="8"/>
  <c r="D52" i="8"/>
  <c r="C52" i="8"/>
  <c r="D47" i="8"/>
  <c r="C47" i="8"/>
  <c r="D46" i="8"/>
  <c r="C46" i="8"/>
  <c r="D45" i="8"/>
  <c r="F45" i="8" s="1"/>
  <c r="C45" i="8"/>
  <c r="D44" i="8"/>
  <c r="C44" i="8"/>
  <c r="D43" i="8"/>
  <c r="C43" i="8"/>
  <c r="C42" i="8"/>
  <c r="B42" i="8"/>
  <c r="A42" i="8"/>
  <c r="D41" i="8"/>
  <c r="C41" i="8"/>
  <c r="D40" i="8"/>
  <c r="C40" i="8"/>
  <c r="D39" i="8"/>
  <c r="C39" i="8"/>
  <c r="D38" i="8"/>
  <c r="C38" i="8"/>
  <c r="D37" i="8"/>
  <c r="C37" i="8"/>
  <c r="C36" i="8"/>
  <c r="B36" i="8"/>
  <c r="A36" i="8"/>
  <c r="D35" i="8"/>
  <c r="F35" i="8" s="1"/>
  <c r="C35" i="8"/>
  <c r="D34" i="8"/>
  <c r="C34" i="8"/>
  <c r="D33" i="8"/>
  <c r="C33" i="8"/>
  <c r="D32" i="8"/>
  <c r="C32" i="8"/>
  <c r="D31" i="8"/>
  <c r="C31" i="8"/>
  <c r="C30" i="8"/>
  <c r="B30" i="8"/>
  <c r="A30" i="8"/>
  <c r="D28" i="8"/>
  <c r="C28" i="8"/>
  <c r="D22" i="8"/>
  <c r="C22" i="8"/>
  <c r="B19" i="8"/>
  <c r="A19" i="8"/>
  <c r="D18" i="8"/>
  <c r="F18" i="8" s="1"/>
  <c r="D17" i="8"/>
  <c r="F17" i="8" s="1"/>
  <c r="D16" i="8"/>
  <c r="F16" i="8" s="1"/>
  <c r="D15" i="8"/>
  <c r="F15" i="8" s="1"/>
  <c r="D14" i="8"/>
  <c r="F14" i="8" s="1"/>
  <c r="D13" i="8"/>
  <c r="F13" i="8" s="1"/>
  <c r="B12" i="8"/>
  <c r="A12" i="8"/>
  <c r="D11" i="8"/>
  <c r="F11" i="8" s="1"/>
  <c r="D10" i="8"/>
  <c r="F10" i="8" s="1"/>
  <c r="D9" i="8"/>
  <c r="B8" i="8"/>
  <c r="A8" i="8"/>
  <c r="D7" i="8"/>
  <c r="D6" i="8"/>
  <c r="D5" i="8"/>
  <c r="D4" i="8"/>
  <c r="B3" i="8"/>
  <c r="A3" i="8"/>
  <c r="D75" i="24"/>
  <c r="D27" i="26"/>
  <c r="C27" i="26"/>
  <c r="D26" i="26"/>
  <c r="B78" i="24"/>
  <c r="A78" i="24"/>
  <c r="G99" i="11" l="1"/>
  <c r="G135" i="18"/>
  <c r="G92" i="11"/>
  <c r="G110" i="19"/>
  <c r="G119" i="20"/>
  <c r="G132" i="20"/>
  <c r="G135" i="21"/>
  <c r="G139" i="25"/>
  <c r="G103" i="19"/>
  <c r="G112" i="20"/>
  <c r="G96" i="9"/>
  <c r="G14" i="12"/>
  <c r="G101" i="9"/>
  <c r="G106" i="9"/>
  <c r="G12" i="8"/>
  <c r="G162" i="11"/>
  <c r="G123" i="18"/>
  <c r="G115" i="9"/>
  <c r="G108" i="10"/>
  <c r="G32" i="20"/>
  <c r="G177" i="11"/>
  <c r="G32" i="19"/>
  <c r="G11" i="16"/>
  <c r="G111" i="25"/>
  <c r="G152" i="25"/>
  <c r="G64" i="21"/>
  <c r="G116" i="11"/>
  <c r="G167" i="11"/>
  <c r="G3" i="17"/>
  <c r="G103" i="10"/>
  <c r="G181" i="11"/>
  <c r="G16" i="16"/>
  <c r="G44" i="18"/>
  <c r="G110" i="23"/>
  <c r="G111" i="9"/>
  <c r="G118" i="10"/>
  <c r="G122" i="10"/>
  <c r="G15" i="11"/>
  <c r="G17" i="24"/>
  <c r="G54" i="8"/>
  <c r="G97" i="19"/>
  <c r="G10" i="15"/>
  <c r="G104" i="23"/>
  <c r="G117" i="18"/>
  <c r="G113" i="10"/>
  <c r="G10" i="11"/>
  <c r="G126" i="9"/>
  <c r="G9" i="17"/>
  <c r="G129" i="18"/>
  <c r="G122" i="21"/>
  <c r="G114" i="25"/>
  <c r="G110" i="18"/>
  <c r="G106" i="20"/>
  <c r="G97" i="23"/>
  <c r="G120" i="25"/>
  <c r="G172" i="11"/>
  <c r="G115" i="21"/>
  <c r="G92" i="23"/>
  <c r="F115" i="11"/>
  <c r="G133" i="23"/>
  <c r="G152" i="21"/>
  <c r="G82" i="22"/>
  <c r="D161" i="11"/>
  <c r="G161" i="11" s="1"/>
  <c r="G203" i="18" l="1"/>
  <c r="D174" i="21"/>
  <c r="F174" i="21" s="1"/>
  <c r="D173" i="21"/>
  <c r="F173" i="21" s="1"/>
  <c r="D172" i="21"/>
  <c r="F172" i="21" s="1"/>
  <c r="D171" i="21"/>
  <c r="F171" i="21" s="1"/>
  <c r="D170" i="21"/>
  <c r="F170" i="21" s="1"/>
  <c r="D169" i="21"/>
  <c r="F169" i="21" s="1"/>
  <c r="C174" i="21"/>
  <c r="C173" i="21"/>
  <c r="C172" i="21"/>
  <c r="C171" i="21"/>
  <c r="C170" i="21"/>
  <c r="C169" i="21"/>
  <c r="A168" i="21"/>
  <c r="B168" i="21"/>
  <c r="A179" i="20"/>
  <c r="B179" i="20"/>
  <c r="D185" i="20"/>
  <c r="F185" i="20" s="1"/>
  <c r="C185" i="20"/>
  <c r="D184" i="20"/>
  <c r="F184" i="20" s="1"/>
  <c r="C184" i="20"/>
  <c r="D183" i="20"/>
  <c r="F183" i="20" s="1"/>
  <c r="C183" i="20"/>
  <c r="D182" i="20"/>
  <c r="F182" i="20" s="1"/>
  <c r="C182" i="20"/>
  <c r="D181" i="20"/>
  <c r="F181" i="20" s="1"/>
  <c r="C181" i="20"/>
  <c r="D180" i="20"/>
  <c r="F180" i="20" s="1"/>
  <c r="C180" i="20"/>
  <c r="C168" i="21"/>
  <c r="C179" i="20"/>
  <c r="D155" i="19"/>
  <c r="F155" i="19" s="1"/>
  <c r="D154" i="19"/>
  <c r="F154" i="19" s="1"/>
  <c r="D153" i="19"/>
  <c r="F153" i="19" s="1"/>
  <c r="D152" i="19"/>
  <c r="F152" i="19" s="1"/>
  <c r="D151" i="19"/>
  <c r="F151" i="19" s="1"/>
  <c r="D150" i="19"/>
  <c r="F150" i="19" s="1"/>
  <c r="C155" i="19"/>
  <c r="C154" i="19"/>
  <c r="C153" i="19"/>
  <c r="C152" i="19"/>
  <c r="C151" i="19"/>
  <c r="C150" i="19"/>
  <c r="B149" i="19"/>
  <c r="A149" i="19"/>
  <c r="C149" i="19"/>
  <c r="F198" i="18"/>
  <c r="D197" i="18"/>
  <c r="F197" i="18" s="1"/>
  <c r="D196" i="18"/>
  <c r="F196" i="18" s="1"/>
  <c r="D195" i="18"/>
  <c r="F195" i="18" s="1"/>
  <c r="D194" i="18"/>
  <c r="F194" i="18" s="1"/>
  <c r="D193" i="18"/>
  <c r="F193" i="18" s="1"/>
  <c r="D192" i="18"/>
  <c r="F192" i="18" s="1"/>
  <c r="C197" i="18"/>
  <c r="C196" i="18"/>
  <c r="C195" i="18"/>
  <c r="C194" i="18"/>
  <c r="C193" i="18"/>
  <c r="C192" i="18"/>
  <c r="A191" i="18"/>
  <c r="B191" i="18"/>
  <c r="C191" i="18"/>
  <c r="G149" i="19" l="1"/>
  <c r="G168" i="21"/>
  <c r="G179" i="20"/>
  <c r="G191" i="18"/>
  <c r="F68" i="10" l="1"/>
  <c r="F94" i="20" l="1"/>
  <c r="F34" i="9"/>
  <c r="F48" i="10"/>
  <c r="F45" i="14"/>
  <c r="F81" i="15"/>
  <c r="F54" i="13"/>
  <c r="F40" i="8"/>
  <c r="C88" i="25" l="1"/>
  <c r="C89" i="25"/>
  <c r="C90" i="25"/>
  <c r="C92" i="25"/>
  <c r="C93" i="25"/>
  <c r="C83" i="21"/>
  <c r="C61" i="23"/>
  <c r="C36" i="11"/>
  <c r="C35" i="15"/>
  <c r="C34" i="15"/>
  <c r="C32" i="15"/>
  <c r="C31" i="15"/>
  <c r="C30" i="15"/>
  <c r="C87" i="18"/>
  <c r="C86" i="18"/>
  <c r="C84" i="18"/>
  <c r="C83" i="18"/>
  <c r="C82" i="18"/>
  <c r="D72" i="25"/>
  <c r="D70" i="25"/>
  <c r="D69" i="25"/>
  <c r="C72" i="25"/>
  <c r="C71" i="25"/>
  <c r="C70" i="25"/>
  <c r="C69" i="25"/>
  <c r="C68" i="25"/>
  <c r="D48" i="20"/>
  <c r="D46" i="20"/>
  <c r="D45" i="20"/>
  <c r="C48" i="20"/>
  <c r="C47" i="20"/>
  <c r="C46" i="20"/>
  <c r="C45" i="20"/>
  <c r="C44" i="20"/>
  <c r="D63" i="18"/>
  <c r="D62" i="18"/>
  <c r="D46" i="19"/>
  <c r="D45" i="19"/>
  <c r="F45" i="19" s="1"/>
  <c r="C48" i="19"/>
  <c r="C47" i="19"/>
  <c r="C46" i="19"/>
  <c r="C45" i="19"/>
  <c r="C44" i="19"/>
  <c r="C65" i="18"/>
  <c r="C64" i="18"/>
  <c r="C63" i="18"/>
  <c r="C62" i="18"/>
  <c r="C61" i="18"/>
  <c r="D21" i="15"/>
  <c r="D19" i="15"/>
  <c r="D18" i="15"/>
  <c r="D20" i="17"/>
  <c r="F20" i="17" s="1"/>
  <c r="C21" i="15"/>
  <c r="C20" i="15"/>
  <c r="C19" i="15"/>
  <c r="C18" i="15"/>
  <c r="C17" i="15"/>
  <c r="C27" i="16"/>
  <c r="C16" i="17"/>
  <c r="C20" i="17"/>
  <c r="C19" i="17"/>
  <c r="C18" i="17"/>
  <c r="D31" i="16"/>
  <c r="F31" i="16" s="1"/>
  <c r="D29" i="16"/>
  <c r="D28" i="16"/>
  <c r="C31" i="16"/>
  <c r="C30" i="16"/>
  <c r="C29" i="16"/>
  <c r="D16" i="14"/>
  <c r="D14" i="14"/>
  <c r="F14" i="14" s="1"/>
  <c r="D13" i="14"/>
  <c r="C16" i="14"/>
  <c r="C15" i="14"/>
  <c r="C14" i="14"/>
  <c r="C13" i="14"/>
  <c r="C12" i="14"/>
  <c r="D9" i="13"/>
  <c r="F9" i="13" s="1"/>
  <c r="D7" i="13"/>
  <c r="F7" i="13" s="1"/>
  <c r="D6" i="13"/>
  <c r="F6" i="13" s="1"/>
  <c r="C9" i="13"/>
  <c r="C8" i="13"/>
  <c r="C7" i="13"/>
  <c r="C6" i="13"/>
  <c r="C5" i="13"/>
  <c r="D32" i="11"/>
  <c r="D30" i="11"/>
  <c r="D29" i="11"/>
  <c r="C32" i="11"/>
  <c r="C31" i="11"/>
  <c r="C30" i="11"/>
  <c r="C29" i="11"/>
  <c r="C28" i="11"/>
  <c r="G4" i="13" l="1"/>
  <c r="D12" i="31"/>
  <c r="F12" i="31" s="1"/>
  <c r="D10" i="31"/>
  <c r="F10" i="31" s="1"/>
  <c r="D9" i="31"/>
  <c r="F9" i="31" s="1"/>
  <c r="C12" i="31"/>
  <c r="C11" i="31"/>
  <c r="C10" i="31"/>
  <c r="C9" i="31"/>
  <c r="C8" i="31"/>
  <c r="F72" i="25"/>
  <c r="F48" i="20"/>
  <c r="D48" i="19"/>
  <c r="F48" i="19" s="1"/>
  <c r="D65" i="18"/>
  <c r="F65" i="18" s="1"/>
  <c r="F21" i="15"/>
  <c r="F21" i="17"/>
  <c r="F32" i="16"/>
  <c r="F16" i="14"/>
  <c r="F32" i="11"/>
  <c r="G7" i="31" l="1"/>
  <c r="D23" i="22"/>
  <c r="F23" i="22" s="1"/>
  <c r="D22" i="22"/>
  <c r="F22" i="22" s="1"/>
  <c r="D20" i="22"/>
  <c r="F20" i="22" s="1"/>
  <c r="C23" i="22"/>
  <c r="C22" i="22"/>
  <c r="C20" i="22"/>
  <c r="G18" i="22" l="1"/>
  <c r="G17" i="22" s="1"/>
  <c r="A161" i="11"/>
  <c r="B161" i="11"/>
  <c r="G23" i="27"/>
  <c r="A181" i="18"/>
  <c r="D154" i="20"/>
  <c r="F154" i="20" s="1"/>
  <c r="D153" i="20"/>
  <c r="F153" i="20" s="1"/>
  <c r="D152" i="20"/>
  <c r="F152" i="20" s="1"/>
  <c r="D151" i="20"/>
  <c r="F151" i="20" s="1"/>
  <c r="C154" i="20"/>
  <c r="C153" i="20"/>
  <c r="C152" i="20"/>
  <c r="C151" i="20"/>
  <c r="D127" i="19"/>
  <c r="F127" i="19" s="1"/>
  <c r="D126" i="19"/>
  <c r="F126" i="19" s="1"/>
  <c r="D125" i="19"/>
  <c r="F125" i="19" s="1"/>
  <c r="D124" i="19"/>
  <c r="F124" i="19" s="1"/>
  <c r="C127" i="19"/>
  <c r="C126" i="19"/>
  <c r="C125" i="19"/>
  <c r="C124" i="19"/>
  <c r="D101" i="14"/>
  <c r="F101" i="14" s="1"/>
  <c r="D100" i="14"/>
  <c r="F100" i="14" s="1"/>
  <c r="D99" i="14"/>
  <c r="F99" i="14" s="1"/>
  <c r="D98" i="14"/>
  <c r="F98" i="14" s="1"/>
  <c r="C101" i="14"/>
  <c r="C100" i="14"/>
  <c r="C99" i="14"/>
  <c r="C98" i="14"/>
  <c r="D100" i="13"/>
  <c r="F100" i="13" s="1"/>
  <c r="D99" i="13"/>
  <c r="F99" i="13" s="1"/>
  <c r="D98" i="13"/>
  <c r="F98" i="13" s="1"/>
  <c r="D97" i="13"/>
  <c r="F97" i="13" s="1"/>
  <c r="C100" i="13"/>
  <c r="C99" i="13"/>
  <c r="C98" i="13"/>
  <c r="C97" i="13"/>
  <c r="D138" i="11"/>
  <c r="F138" i="11" s="1"/>
  <c r="D137" i="11"/>
  <c r="F137" i="11" s="1"/>
  <c r="D136" i="11"/>
  <c r="F136" i="11" s="1"/>
  <c r="D135" i="11"/>
  <c r="F135" i="11" s="1"/>
  <c r="C138" i="11"/>
  <c r="C137" i="11"/>
  <c r="C136" i="11"/>
  <c r="C135" i="11"/>
  <c r="D100" i="10"/>
  <c r="F100" i="10" s="1"/>
  <c r="D99" i="10"/>
  <c r="F99" i="10" s="1"/>
  <c r="D98" i="10"/>
  <c r="F98" i="10" s="1"/>
  <c r="D97" i="10"/>
  <c r="F97" i="10" s="1"/>
  <c r="C100" i="10"/>
  <c r="C99" i="10"/>
  <c r="C98" i="10"/>
  <c r="C97" i="10"/>
  <c r="D93" i="9"/>
  <c r="D92" i="9"/>
  <c r="D91" i="9"/>
  <c r="D90" i="9"/>
  <c r="C93" i="9"/>
  <c r="C92" i="9"/>
  <c r="C91" i="9"/>
  <c r="C90" i="9"/>
  <c r="D72" i="8"/>
  <c r="D71" i="8"/>
  <c r="D70" i="8"/>
  <c r="D69" i="8"/>
  <c r="C72" i="8"/>
  <c r="C71" i="8"/>
  <c r="C70" i="8"/>
  <c r="C69" i="8"/>
  <c r="G97" i="14" l="1"/>
  <c r="G123" i="19"/>
  <c r="G150" i="20"/>
  <c r="G96" i="10"/>
  <c r="G134" i="11"/>
  <c r="G96" i="13"/>
  <c r="D178" i="23"/>
  <c r="G178" i="23" s="1"/>
  <c r="D16" i="24"/>
  <c r="G16" i="24" s="1"/>
  <c r="G26" i="27"/>
  <c r="G25" i="27"/>
  <c r="G24" i="27"/>
  <c r="G57" i="27" l="1"/>
  <c r="A94" i="9"/>
  <c r="B94" i="9"/>
  <c r="C94" i="9"/>
  <c r="D94" i="9"/>
  <c r="G94" i="9" s="1"/>
  <c r="D48" i="21" l="1"/>
  <c r="G48" i="21" s="1"/>
  <c r="D35" i="18"/>
  <c r="G35" i="18" s="1"/>
  <c r="C181" i="23"/>
  <c r="D181" i="23"/>
  <c r="G181" i="23" s="1"/>
  <c r="A180" i="23"/>
  <c r="C180" i="23"/>
  <c r="D180" i="23"/>
  <c r="G180" i="23" s="1"/>
  <c r="B180" i="23"/>
  <c r="G23" i="15"/>
  <c r="G67" i="18" l="1"/>
  <c r="G50" i="19"/>
  <c r="D25" i="23" l="1"/>
  <c r="F25" i="23" s="1"/>
  <c r="D24" i="23"/>
  <c r="F24" i="23" s="1"/>
  <c r="D23" i="23"/>
  <c r="D22" i="23"/>
  <c r="F22" i="23" s="1"/>
  <c r="D21" i="23"/>
  <c r="F21" i="23" s="1"/>
  <c r="D20" i="23"/>
  <c r="F20" i="23" s="1"/>
  <c r="D19" i="23"/>
  <c r="F19" i="23" s="1"/>
  <c r="D17" i="23"/>
  <c r="F17" i="23" s="1"/>
  <c r="D16" i="23"/>
  <c r="F16" i="23" s="1"/>
  <c r="D15" i="23"/>
  <c r="F15" i="23" s="1"/>
  <c r="D14" i="23"/>
  <c r="F14" i="23" s="1"/>
  <c r="D13" i="23"/>
  <c r="F13" i="23" s="1"/>
  <c r="D12" i="23"/>
  <c r="F12" i="23" s="1"/>
  <c r="D11" i="23"/>
  <c r="F11" i="23" s="1"/>
  <c r="D62" i="23"/>
  <c r="F62" i="23" s="1"/>
  <c r="D63" i="23"/>
  <c r="F63" i="23" s="1"/>
  <c r="D65" i="23"/>
  <c r="F65" i="23" s="1"/>
  <c r="D66" i="23"/>
  <c r="F66" i="23" s="1"/>
  <c r="D10" i="22"/>
  <c r="F10" i="22" s="1"/>
  <c r="D9" i="22"/>
  <c r="F9" i="22" s="1"/>
  <c r="D8" i="22"/>
  <c r="F8" i="22" s="1"/>
  <c r="D7" i="22"/>
  <c r="F7" i="22" s="1"/>
  <c r="D6" i="22"/>
  <c r="F6" i="22" s="1"/>
  <c r="D5" i="22"/>
  <c r="F5" i="22" s="1"/>
  <c r="D4" i="22"/>
  <c r="C10" i="22"/>
  <c r="C9" i="22"/>
  <c r="C8" i="22"/>
  <c r="C7" i="22"/>
  <c r="C6" i="22"/>
  <c r="C5" i="22"/>
  <c r="C4" i="22"/>
  <c r="D44" i="22"/>
  <c r="F44" i="22" s="1"/>
  <c r="D45" i="22"/>
  <c r="F45" i="22" s="1"/>
  <c r="D46" i="22"/>
  <c r="F46" i="22" s="1"/>
  <c r="D47" i="22"/>
  <c r="F47" i="22" s="1"/>
  <c r="F62" i="22"/>
  <c r="F64" i="22"/>
  <c r="F65" i="22"/>
  <c r="F66" i="22"/>
  <c r="F59" i="22"/>
  <c r="F60" i="22"/>
  <c r="D26" i="22"/>
  <c r="G24" i="22" s="1"/>
  <c r="F68" i="22"/>
  <c r="F69" i="22"/>
  <c r="F70" i="22"/>
  <c r="F71" i="22"/>
  <c r="D53" i="22"/>
  <c r="F53" i="22" s="1"/>
  <c r="D54" i="22"/>
  <c r="F54" i="22" s="1"/>
  <c r="D55" i="22"/>
  <c r="F55" i="22" s="1"/>
  <c r="D56" i="22"/>
  <c r="F56" i="22" s="1"/>
  <c r="D57" i="22"/>
  <c r="F57" i="22" s="1"/>
  <c r="D28" i="22"/>
  <c r="D29" i="22"/>
  <c r="F29" i="22" s="1"/>
  <c r="D31" i="22"/>
  <c r="F31" i="22" s="1"/>
  <c r="D32" i="22"/>
  <c r="F32" i="22" s="1"/>
  <c r="D33" i="22"/>
  <c r="D34" i="22"/>
  <c r="F34" i="22" s="1"/>
  <c r="D35" i="22"/>
  <c r="F35" i="22" s="1"/>
  <c r="F30" i="22"/>
  <c r="F33" i="22"/>
  <c r="D37" i="22"/>
  <c r="F37" i="22" s="1"/>
  <c r="D38" i="22"/>
  <c r="F38" i="22" s="1"/>
  <c r="D39" i="22"/>
  <c r="F39" i="22" s="1"/>
  <c r="D41" i="22"/>
  <c r="F41" i="22" s="1"/>
  <c r="D42" i="22"/>
  <c r="F42" i="22" s="1"/>
  <c r="D49" i="22"/>
  <c r="F49" i="22" s="1"/>
  <c r="F50" i="22"/>
  <c r="D51" i="22"/>
  <c r="F51" i="22" s="1"/>
  <c r="D83" i="22"/>
  <c r="G83" i="22" s="1"/>
  <c r="D12" i="22"/>
  <c r="F12" i="22" s="1"/>
  <c r="D13" i="22"/>
  <c r="F13" i="22" s="1"/>
  <c r="D14" i="22"/>
  <c r="F14" i="22" s="1"/>
  <c r="D15" i="22"/>
  <c r="F15" i="22" s="1"/>
  <c r="D16" i="22"/>
  <c r="F16" i="22" s="1"/>
  <c r="D74" i="22"/>
  <c r="F74" i="22" s="1"/>
  <c r="D75" i="22"/>
  <c r="F75" i="22" s="1"/>
  <c r="D76" i="22"/>
  <c r="F76" i="22" s="1"/>
  <c r="F77" i="22"/>
  <c r="D78" i="22"/>
  <c r="F78" i="22" s="1"/>
  <c r="D80" i="22"/>
  <c r="G79" i="22" s="1"/>
  <c r="D25" i="22"/>
  <c r="F25" i="22" s="1"/>
  <c r="B24" i="22"/>
  <c r="A24" i="22"/>
  <c r="C26" i="22"/>
  <c r="C25" i="22"/>
  <c r="C24" i="22"/>
  <c r="D81" i="22"/>
  <c r="F81" i="22" s="1"/>
  <c r="B79" i="22"/>
  <c r="A79" i="22"/>
  <c r="C81" i="22"/>
  <c r="C80" i="22"/>
  <c r="C79" i="22"/>
  <c r="C78" i="22"/>
  <c r="C76" i="22"/>
  <c r="C75" i="22"/>
  <c r="C74" i="22"/>
  <c r="C73" i="22"/>
  <c r="A73" i="22"/>
  <c r="B73" i="22"/>
  <c r="A83" i="22"/>
  <c r="C83" i="22"/>
  <c r="B83" i="22"/>
  <c r="D207" i="11"/>
  <c r="F207" i="11" s="1"/>
  <c r="D208" i="11"/>
  <c r="F208" i="11" s="1"/>
  <c r="D209" i="11"/>
  <c r="F209" i="11" s="1"/>
  <c r="D210" i="11"/>
  <c r="F210" i="11" s="1"/>
  <c r="D204" i="11"/>
  <c r="F204" i="11" s="1"/>
  <c r="D205" i="11"/>
  <c r="F205" i="11" s="1"/>
  <c r="D215" i="11"/>
  <c r="G215" i="11" s="1"/>
  <c r="D186" i="11"/>
  <c r="F186" i="11" s="1"/>
  <c r="D187" i="11"/>
  <c r="F187" i="11" s="1"/>
  <c r="D188" i="11"/>
  <c r="F188" i="11" s="1"/>
  <c r="D189" i="11"/>
  <c r="F189" i="11" s="1"/>
  <c r="D190" i="11"/>
  <c r="F190" i="11" s="1"/>
  <c r="D150" i="11"/>
  <c r="F150" i="11" s="1"/>
  <c r="D151" i="11"/>
  <c r="F151" i="11" s="1"/>
  <c r="D152" i="11"/>
  <c r="F152" i="11" s="1"/>
  <c r="D153" i="11"/>
  <c r="F153" i="11" s="1"/>
  <c r="D155" i="11"/>
  <c r="F155" i="11" s="1"/>
  <c r="D156" i="11"/>
  <c r="F156" i="11" s="1"/>
  <c r="D157" i="11"/>
  <c r="F157" i="11" s="1"/>
  <c r="D158" i="11"/>
  <c r="F158" i="11" s="1"/>
  <c r="D160" i="11"/>
  <c r="F160" i="11" s="1"/>
  <c r="D198" i="11"/>
  <c r="F198" i="11" s="1"/>
  <c r="D199" i="11"/>
  <c r="F199" i="11" s="1"/>
  <c r="D200" i="11"/>
  <c r="F200" i="11" s="1"/>
  <c r="F201" i="11"/>
  <c r="D202" i="11"/>
  <c r="D212" i="11"/>
  <c r="F212" i="11" s="1"/>
  <c r="D213" i="11"/>
  <c r="D214" i="11"/>
  <c r="F214" i="11" s="1"/>
  <c r="A97" i="16"/>
  <c r="B97" i="16"/>
  <c r="C97" i="16"/>
  <c r="F47" i="16"/>
  <c r="F48" i="16"/>
  <c r="F49" i="16"/>
  <c r="F50" i="16"/>
  <c r="F51" i="16"/>
  <c r="F87" i="11"/>
  <c r="F88" i="11"/>
  <c r="F89" i="11"/>
  <c r="F90" i="11"/>
  <c r="F91" i="11"/>
  <c r="D122" i="11"/>
  <c r="F122" i="11" s="1"/>
  <c r="D124" i="11"/>
  <c r="F124" i="11" s="1"/>
  <c r="D125" i="11"/>
  <c r="F125" i="11" s="1"/>
  <c r="F21" i="11"/>
  <c r="F22" i="11"/>
  <c r="F23" i="11"/>
  <c r="F24" i="11"/>
  <c r="F25" i="11"/>
  <c r="D43" i="11"/>
  <c r="F43" i="11" s="1"/>
  <c r="D44" i="11"/>
  <c r="F44" i="11" s="1"/>
  <c r="D45" i="11"/>
  <c r="F45" i="11" s="1"/>
  <c r="D46" i="11"/>
  <c r="F46" i="11" s="1"/>
  <c r="A9" i="11"/>
  <c r="B192" i="11"/>
  <c r="A192" i="11"/>
  <c r="B154" i="11"/>
  <c r="A154" i="11"/>
  <c r="C160" i="11"/>
  <c r="C158" i="11"/>
  <c r="C157" i="11"/>
  <c r="C156" i="11"/>
  <c r="C155" i="11"/>
  <c r="C154" i="11"/>
  <c r="D143" i="10"/>
  <c r="F143" i="10" s="1"/>
  <c r="D144" i="10"/>
  <c r="F144" i="10" s="1"/>
  <c r="D145" i="10"/>
  <c r="F145" i="10" s="1"/>
  <c r="D146" i="10"/>
  <c r="F146" i="10" s="1"/>
  <c r="D133" i="10"/>
  <c r="F133" i="10" s="1"/>
  <c r="D134" i="10"/>
  <c r="F134" i="10" s="1"/>
  <c r="D135" i="10"/>
  <c r="F135" i="10" s="1"/>
  <c r="D137" i="10"/>
  <c r="F137" i="10" s="1"/>
  <c r="D138" i="10"/>
  <c r="F138" i="10" s="1"/>
  <c r="D139" i="10"/>
  <c r="F139" i="10" s="1"/>
  <c r="D141" i="10"/>
  <c r="F141" i="10" s="1"/>
  <c r="D147" i="10"/>
  <c r="G147" i="10" s="1"/>
  <c r="A162" i="11"/>
  <c r="B162" i="11"/>
  <c r="A103" i="10"/>
  <c r="B103" i="10"/>
  <c r="F59" i="16"/>
  <c r="F60" i="16"/>
  <c r="F61" i="16"/>
  <c r="F62" i="16"/>
  <c r="F40" i="16"/>
  <c r="F41" i="16"/>
  <c r="F42" i="16"/>
  <c r="F44" i="16"/>
  <c r="F45" i="16"/>
  <c r="F65" i="16"/>
  <c r="F66" i="16"/>
  <c r="F67" i="16"/>
  <c r="F68" i="16"/>
  <c r="F69" i="16"/>
  <c r="F78" i="16"/>
  <c r="G77" i="16" s="1"/>
  <c r="F79" i="16"/>
  <c r="F80" i="16"/>
  <c r="F92" i="16"/>
  <c r="D93" i="16"/>
  <c r="F93" i="16" s="1"/>
  <c r="F94" i="16"/>
  <c r="D95" i="16"/>
  <c r="F95" i="16" s="1"/>
  <c r="D96" i="16"/>
  <c r="F96" i="16" s="1"/>
  <c r="F22" i="16"/>
  <c r="G20" i="16" s="1"/>
  <c r="D86" i="16"/>
  <c r="F86" i="16" s="1"/>
  <c r="D87" i="16"/>
  <c r="F87" i="16" s="1"/>
  <c r="D88" i="16"/>
  <c r="F88" i="16" s="1"/>
  <c r="F89" i="16"/>
  <c r="F90" i="16"/>
  <c r="F28" i="16"/>
  <c r="F29" i="16"/>
  <c r="F71" i="16"/>
  <c r="F72" i="16"/>
  <c r="F74" i="16"/>
  <c r="F75" i="16"/>
  <c r="F76" i="16"/>
  <c r="F54" i="16"/>
  <c r="F55" i="16"/>
  <c r="F56" i="16"/>
  <c r="F57" i="16"/>
  <c r="D102" i="16"/>
  <c r="F102" i="16" s="1"/>
  <c r="D103" i="16"/>
  <c r="F103" i="16" s="1"/>
  <c r="D104" i="16"/>
  <c r="F104" i="16" s="1"/>
  <c r="D106" i="16"/>
  <c r="F106" i="16" s="1"/>
  <c r="D107" i="16"/>
  <c r="F107" i="16" s="1"/>
  <c r="D108" i="16"/>
  <c r="F108" i="16" s="1"/>
  <c r="D4" i="16"/>
  <c r="F5" i="16"/>
  <c r="D6" i="16"/>
  <c r="F6" i="16" s="1"/>
  <c r="F8" i="16"/>
  <c r="D9" i="16"/>
  <c r="F9" i="16" s="1"/>
  <c r="D34" i="16"/>
  <c r="D35" i="16"/>
  <c r="F35" i="16" s="1"/>
  <c r="D36" i="16"/>
  <c r="F36" i="16" s="1"/>
  <c r="D37" i="16"/>
  <c r="F37" i="16" s="1"/>
  <c r="D38" i="16"/>
  <c r="F38" i="16" s="1"/>
  <c r="D110" i="16"/>
  <c r="F110" i="16" s="1"/>
  <c r="D111" i="16"/>
  <c r="F111" i="16" s="1"/>
  <c r="D112" i="16"/>
  <c r="F112" i="16" s="1"/>
  <c r="D114" i="16"/>
  <c r="F114" i="16" s="1"/>
  <c r="D116" i="16"/>
  <c r="F116" i="16" s="1"/>
  <c r="D117" i="16"/>
  <c r="F117" i="16" s="1"/>
  <c r="D119" i="16"/>
  <c r="G119" i="16" s="1"/>
  <c r="D120" i="16"/>
  <c r="G120" i="16" s="1"/>
  <c r="D118" i="16"/>
  <c r="C44" i="12"/>
  <c r="A44" i="12"/>
  <c r="B44" i="12"/>
  <c r="C37" i="31"/>
  <c r="A37" i="31"/>
  <c r="B37" i="31"/>
  <c r="F69" i="8"/>
  <c r="F70" i="8"/>
  <c r="F71" i="8"/>
  <c r="F72" i="8"/>
  <c r="F57" i="8"/>
  <c r="F59" i="8"/>
  <c r="D60" i="8"/>
  <c r="F60" i="8" s="1"/>
  <c r="F61" i="8"/>
  <c r="D62" i="8"/>
  <c r="F62" i="8" s="1"/>
  <c r="D63" i="8"/>
  <c r="F63" i="8" s="1"/>
  <c r="F43" i="8"/>
  <c r="F44" i="8"/>
  <c r="F46" i="8"/>
  <c r="F47" i="8"/>
  <c r="D25" i="8"/>
  <c r="F25" i="8" s="1"/>
  <c r="D26" i="8"/>
  <c r="F26" i="8" s="1"/>
  <c r="D27" i="8"/>
  <c r="F27" i="8" s="1"/>
  <c r="F28" i="8"/>
  <c r="D29" i="8"/>
  <c r="F29" i="8" s="1"/>
  <c r="D67" i="8"/>
  <c r="D65" i="8"/>
  <c r="F65" i="8" s="1"/>
  <c r="D66" i="8"/>
  <c r="F66" i="8" s="1"/>
  <c r="F4" i="8"/>
  <c r="F5" i="8"/>
  <c r="F6" i="8"/>
  <c r="F7" i="8"/>
  <c r="D71" i="21"/>
  <c r="F71" i="21" s="1"/>
  <c r="D72" i="21"/>
  <c r="G70" i="21" s="1"/>
  <c r="D84" i="21"/>
  <c r="F84" i="21" s="1"/>
  <c r="D85" i="21"/>
  <c r="F85" i="21" s="1"/>
  <c r="D87" i="21"/>
  <c r="F87" i="21" s="1"/>
  <c r="D88" i="21"/>
  <c r="F88" i="21" s="1"/>
  <c r="D74" i="21"/>
  <c r="D75" i="21"/>
  <c r="F75" i="21" s="1"/>
  <c r="F76" i="21"/>
  <c r="D77" i="21"/>
  <c r="F77" i="21" s="1"/>
  <c r="D78" i="21"/>
  <c r="F78" i="21" s="1"/>
  <c r="D79" i="21"/>
  <c r="F79" i="21" s="1"/>
  <c r="D80" i="21"/>
  <c r="F80" i="21" s="1"/>
  <c r="D81" i="21"/>
  <c r="F81" i="21" s="1"/>
  <c r="F74" i="21"/>
  <c r="A101" i="10"/>
  <c r="F40" i="10"/>
  <c r="F41" i="10"/>
  <c r="F42" i="10"/>
  <c r="F43" i="10"/>
  <c r="F44" i="10"/>
  <c r="C159" i="19"/>
  <c r="D45" i="25"/>
  <c r="F45" i="25" s="1"/>
  <c r="D44" i="25"/>
  <c r="F44" i="25" s="1"/>
  <c r="D47" i="25"/>
  <c r="F47" i="25" s="1"/>
  <c r="C47" i="25"/>
  <c r="D46" i="25"/>
  <c r="F46" i="25" s="1"/>
  <c r="C46" i="25"/>
  <c r="C45" i="25"/>
  <c r="C44" i="25"/>
  <c r="D43" i="25"/>
  <c r="C43" i="25"/>
  <c r="D30" i="19"/>
  <c r="F30" i="19" s="1"/>
  <c r="D31" i="19"/>
  <c r="F31" i="19" s="1"/>
  <c r="C31" i="19"/>
  <c r="C30" i="19"/>
  <c r="D29" i="19"/>
  <c r="F29" i="19" s="1"/>
  <c r="C29" i="19"/>
  <c r="D28" i="19"/>
  <c r="F28" i="19" s="1"/>
  <c r="C28" i="19"/>
  <c r="F27" i="19"/>
  <c r="D23" i="19"/>
  <c r="F23" i="19" s="1"/>
  <c r="D22" i="19"/>
  <c r="F22" i="19" s="1"/>
  <c r="D24" i="19"/>
  <c r="F24" i="19" s="1"/>
  <c r="C24" i="19"/>
  <c r="C23" i="19"/>
  <c r="C22" i="19"/>
  <c r="D21" i="19"/>
  <c r="F21" i="19" s="1"/>
  <c r="C21" i="19"/>
  <c r="D20" i="19"/>
  <c r="C20" i="19"/>
  <c r="C25" i="23"/>
  <c r="D22" i="21"/>
  <c r="F22" i="21" s="1"/>
  <c r="D21" i="21"/>
  <c r="F21" i="21" s="1"/>
  <c r="D25" i="21"/>
  <c r="F25" i="21" s="1"/>
  <c r="D24" i="21"/>
  <c r="F24" i="21" s="1"/>
  <c r="D23" i="21"/>
  <c r="F23" i="21" s="1"/>
  <c r="D20" i="21"/>
  <c r="F20" i="21" s="1"/>
  <c r="D19" i="21"/>
  <c r="F19" i="21" s="1"/>
  <c r="C25" i="21"/>
  <c r="C24" i="21"/>
  <c r="C23" i="21"/>
  <c r="C22" i="21"/>
  <c r="C21" i="21"/>
  <c r="C20" i="21"/>
  <c r="C19" i="21"/>
  <c r="D15" i="18"/>
  <c r="F15" i="18" s="1"/>
  <c r="D14" i="18"/>
  <c r="F14" i="18" s="1"/>
  <c r="D18" i="18"/>
  <c r="F18" i="18" s="1"/>
  <c r="C18" i="18"/>
  <c r="D17" i="18"/>
  <c r="F17" i="18" s="1"/>
  <c r="C17" i="18"/>
  <c r="D16" i="18"/>
  <c r="F16" i="18" s="1"/>
  <c r="C16" i="18"/>
  <c r="C15" i="18"/>
  <c r="C14" i="18"/>
  <c r="D13" i="18"/>
  <c r="F13" i="18" s="1"/>
  <c r="C13" i="18"/>
  <c r="D9" i="25"/>
  <c r="F9" i="25" s="1"/>
  <c r="C9" i="25"/>
  <c r="F8" i="25"/>
  <c r="D7" i="25"/>
  <c r="F7" i="25" s="1"/>
  <c r="C7" i="25"/>
  <c r="F6" i="25"/>
  <c r="F5" i="25"/>
  <c r="C48" i="21"/>
  <c r="C36" i="18"/>
  <c r="C4" i="18"/>
  <c r="D164" i="23"/>
  <c r="F164" i="23" s="1"/>
  <c r="D163" i="23"/>
  <c r="F163" i="23" s="1"/>
  <c r="D161" i="23"/>
  <c r="F161" i="23" s="1"/>
  <c r="C164" i="23"/>
  <c r="C163" i="23"/>
  <c r="C161" i="23"/>
  <c r="B160" i="23"/>
  <c r="A160" i="23"/>
  <c r="C160" i="23"/>
  <c r="B134" i="23"/>
  <c r="A134" i="23"/>
  <c r="B138" i="23"/>
  <c r="A138" i="23"/>
  <c r="C138" i="23"/>
  <c r="C134" i="23"/>
  <c r="D144" i="21"/>
  <c r="F144" i="21" s="1"/>
  <c r="D145" i="21"/>
  <c r="F145" i="21" s="1"/>
  <c r="D146" i="21"/>
  <c r="F146" i="21" s="1"/>
  <c r="D148" i="21"/>
  <c r="F148" i="21" s="1"/>
  <c r="C148" i="21"/>
  <c r="C146" i="21"/>
  <c r="C145" i="21"/>
  <c r="C144" i="21"/>
  <c r="C143" i="21"/>
  <c r="A143" i="21"/>
  <c r="B143" i="21"/>
  <c r="D17" i="21"/>
  <c r="F17" i="21" s="1"/>
  <c r="D16" i="21"/>
  <c r="F16" i="21" s="1"/>
  <c r="D15" i="21"/>
  <c r="F15" i="21" s="1"/>
  <c r="D14" i="21"/>
  <c r="F14" i="21" s="1"/>
  <c r="D13" i="21"/>
  <c r="F13" i="21" s="1"/>
  <c r="D12" i="21"/>
  <c r="F12" i="21" s="1"/>
  <c r="D11" i="21"/>
  <c r="F11" i="21" s="1"/>
  <c r="C17" i="21"/>
  <c r="C16" i="21"/>
  <c r="C15" i="21"/>
  <c r="C14" i="21"/>
  <c r="C13" i="21"/>
  <c r="C12" i="21"/>
  <c r="C157" i="18"/>
  <c r="A157" i="18"/>
  <c r="B157" i="18"/>
  <c r="D187" i="18"/>
  <c r="G187" i="18" s="1"/>
  <c r="A187" i="18"/>
  <c r="B187" i="18"/>
  <c r="D103" i="17"/>
  <c r="G103" i="17" s="1"/>
  <c r="B113" i="13"/>
  <c r="C128" i="11"/>
  <c r="B126" i="11"/>
  <c r="A126" i="11"/>
  <c r="C126" i="11"/>
  <c r="F7" i="20"/>
  <c r="F4" i="20"/>
  <c r="F5" i="20"/>
  <c r="F6" i="20"/>
  <c r="F8" i="20"/>
  <c r="F9" i="20"/>
  <c r="D64" i="20"/>
  <c r="F64" i="20" s="1"/>
  <c r="D65" i="20"/>
  <c r="F65" i="20" s="1"/>
  <c r="F66" i="20"/>
  <c r="D67" i="20"/>
  <c r="F67" i="20" s="1"/>
  <c r="D68" i="20"/>
  <c r="D60" i="20"/>
  <c r="F60" i="20" s="1"/>
  <c r="G59" i="20" s="1"/>
  <c r="D61" i="20"/>
  <c r="F61" i="20" s="1"/>
  <c r="D62" i="20"/>
  <c r="F62" i="20" s="1"/>
  <c r="F60" i="14"/>
  <c r="F61" i="14"/>
  <c r="F62" i="14"/>
  <c r="F63" i="14"/>
  <c r="F65" i="14"/>
  <c r="D25" i="14"/>
  <c r="F25" i="14" s="1"/>
  <c r="D26" i="14"/>
  <c r="F26" i="14" s="1"/>
  <c r="D27" i="14"/>
  <c r="F27" i="14" s="1"/>
  <c r="D28" i="14"/>
  <c r="F28" i="14" s="1"/>
  <c r="F49" i="14"/>
  <c r="G47" i="14" s="1"/>
  <c r="F50" i="14"/>
  <c r="F51" i="14"/>
  <c r="F52" i="14"/>
  <c r="F58" i="14"/>
  <c r="F57" i="14"/>
  <c r="F56" i="14"/>
  <c r="F55" i="14"/>
  <c r="F54" i="14"/>
  <c r="F85" i="14"/>
  <c r="F86" i="14"/>
  <c r="F88" i="14"/>
  <c r="D89" i="14"/>
  <c r="F89" i="14" s="1"/>
  <c r="F90" i="14"/>
  <c r="D91" i="14"/>
  <c r="F91" i="14" s="1"/>
  <c r="D92" i="14"/>
  <c r="F92" i="14" s="1"/>
  <c r="F75" i="14"/>
  <c r="G73" i="14" s="1"/>
  <c r="F76" i="14"/>
  <c r="D78" i="14"/>
  <c r="F78" i="14" s="1"/>
  <c r="D79" i="14"/>
  <c r="F79" i="14" s="1"/>
  <c r="D80" i="14"/>
  <c r="F80" i="14" s="1"/>
  <c r="F81" i="14"/>
  <c r="F82" i="14"/>
  <c r="F4" i="14"/>
  <c r="F5" i="14"/>
  <c r="F6" i="14"/>
  <c r="F7" i="14"/>
  <c r="F8" i="14"/>
  <c r="F9" i="14"/>
  <c r="D96" i="14"/>
  <c r="D94" i="14"/>
  <c r="F94" i="14" s="1"/>
  <c r="D95" i="14"/>
  <c r="F95" i="14" s="1"/>
  <c r="F13" i="14"/>
  <c r="F17" i="14"/>
  <c r="F36" i="14"/>
  <c r="F37" i="14"/>
  <c r="F39" i="14"/>
  <c r="F40" i="14"/>
  <c r="F42" i="14"/>
  <c r="F43" i="14"/>
  <c r="F44" i="14"/>
  <c r="F46" i="14"/>
  <c r="D19" i="14"/>
  <c r="F19" i="14" s="1"/>
  <c r="D20" i="14"/>
  <c r="F20" i="14" s="1"/>
  <c r="D21" i="14"/>
  <c r="F21" i="14" s="1"/>
  <c r="D22" i="14"/>
  <c r="F22" i="14" s="1"/>
  <c r="D23" i="14"/>
  <c r="F23" i="14" s="1"/>
  <c r="D29" i="13"/>
  <c r="F29" i="13" s="1"/>
  <c r="D28" i="13"/>
  <c r="F28" i="13" s="1"/>
  <c r="D30" i="13"/>
  <c r="F30" i="13" s="1"/>
  <c r="F31" i="13"/>
  <c r="D32" i="13"/>
  <c r="F32" i="13" s="1"/>
  <c r="D113" i="13"/>
  <c r="G113" i="13" s="1"/>
  <c r="D102" i="13"/>
  <c r="F102" i="13" s="1"/>
  <c r="D22" i="13"/>
  <c r="F22" i="13" s="1"/>
  <c r="D23" i="13"/>
  <c r="F23" i="13" s="1"/>
  <c r="D24" i="13"/>
  <c r="F24" i="13" s="1"/>
  <c r="D26" i="13"/>
  <c r="F26" i="13" s="1"/>
  <c r="D75" i="10"/>
  <c r="G75" i="10" s="1"/>
  <c r="F48" i="9"/>
  <c r="F47" i="9"/>
  <c r="F46" i="9"/>
  <c r="F44" i="9"/>
  <c r="F30" i="12"/>
  <c r="F29" i="12"/>
  <c r="F28" i="12"/>
  <c r="F27" i="12"/>
  <c r="D102" i="17"/>
  <c r="D97" i="17"/>
  <c r="F97" i="17" s="1"/>
  <c r="D98" i="17"/>
  <c r="F98" i="17" s="1"/>
  <c r="D99" i="17"/>
  <c r="F99" i="17" s="1"/>
  <c r="D101" i="17"/>
  <c r="F101" i="17" s="1"/>
  <c r="F52" i="10"/>
  <c r="G51" i="10" s="1"/>
  <c r="F53" i="10"/>
  <c r="F54" i="10"/>
  <c r="F56" i="10"/>
  <c r="F46" i="10"/>
  <c r="F47" i="10"/>
  <c r="F49" i="10"/>
  <c r="F50" i="10"/>
  <c r="F33" i="10"/>
  <c r="F34" i="10"/>
  <c r="F36" i="10"/>
  <c r="F37" i="10"/>
  <c r="F38" i="10"/>
  <c r="D112" i="21"/>
  <c r="F7" i="21"/>
  <c r="F4" i="21"/>
  <c r="F5" i="21"/>
  <c r="F6" i="21"/>
  <c r="F8" i="21"/>
  <c r="F9" i="21"/>
  <c r="D97" i="21"/>
  <c r="F97" i="21" s="1"/>
  <c r="D98" i="21"/>
  <c r="F98" i="21" s="1"/>
  <c r="D99" i="21"/>
  <c r="F99" i="21" s="1"/>
  <c r="D100" i="21"/>
  <c r="F100" i="21" s="1"/>
  <c r="D101" i="21"/>
  <c r="F101" i="21" s="1"/>
  <c r="D58" i="21"/>
  <c r="F58" i="21" s="1"/>
  <c r="F62" i="21"/>
  <c r="D51" i="20"/>
  <c r="F51" i="20" s="1"/>
  <c r="D52" i="20"/>
  <c r="F52" i="20" s="1"/>
  <c r="F53" i="20"/>
  <c r="D54" i="20"/>
  <c r="F54" i="20" s="1"/>
  <c r="D55" i="20"/>
  <c r="F55" i="20" s="1"/>
  <c r="D56" i="20"/>
  <c r="F56" i="20" s="1"/>
  <c r="D57" i="20"/>
  <c r="F57" i="20" s="1"/>
  <c r="D58" i="20"/>
  <c r="F58" i="20" s="1"/>
  <c r="F82" i="19"/>
  <c r="F83" i="19"/>
  <c r="F84" i="19"/>
  <c r="F86" i="19"/>
  <c r="F77" i="19"/>
  <c r="F78" i="19"/>
  <c r="F79" i="19"/>
  <c r="F80" i="19"/>
  <c r="F88" i="19"/>
  <c r="F89" i="19"/>
  <c r="F90" i="19"/>
  <c r="F91" i="19"/>
  <c r="F92" i="19"/>
  <c r="F94" i="19"/>
  <c r="F69" i="19"/>
  <c r="F70" i="19"/>
  <c r="F71" i="19"/>
  <c r="F72" i="19"/>
  <c r="F73" i="19"/>
  <c r="F74" i="19"/>
  <c r="F43" i="17"/>
  <c r="G42" i="17" s="1"/>
  <c r="F44" i="17"/>
  <c r="F46" i="17"/>
  <c r="F47" i="17"/>
  <c r="F49" i="17"/>
  <c r="G48" i="17" s="1"/>
  <c r="F50" i="17"/>
  <c r="F51" i="17"/>
  <c r="F38" i="17"/>
  <c r="F39" i="17"/>
  <c r="F40" i="17"/>
  <c r="F60" i="17"/>
  <c r="F61" i="17"/>
  <c r="F62" i="17"/>
  <c r="F74" i="17"/>
  <c r="D75" i="17"/>
  <c r="F75" i="17" s="1"/>
  <c r="F76" i="17"/>
  <c r="D77" i="17"/>
  <c r="F77" i="17" s="1"/>
  <c r="D78" i="17"/>
  <c r="F78" i="17" s="1"/>
  <c r="F30" i="17"/>
  <c r="F31" i="17"/>
  <c r="F32" i="17"/>
  <c r="F33" i="17"/>
  <c r="F34" i="17"/>
  <c r="D61" i="19"/>
  <c r="F61" i="19" s="1"/>
  <c r="D62" i="19"/>
  <c r="F62" i="19" s="1"/>
  <c r="F63" i="19"/>
  <c r="D64" i="19"/>
  <c r="F64" i="19" s="1"/>
  <c r="D65" i="19"/>
  <c r="F65" i="19" s="1"/>
  <c r="D56" i="19"/>
  <c r="F56" i="19" s="1"/>
  <c r="D57" i="19"/>
  <c r="D58" i="19"/>
  <c r="F58" i="19" s="1"/>
  <c r="D59" i="19"/>
  <c r="F59" i="19" s="1"/>
  <c r="F4" i="19"/>
  <c r="F5" i="19"/>
  <c r="F6" i="19"/>
  <c r="F7" i="19"/>
  <c r="F8" i="19"/>
  <c r="F9" i="19"/>
  <c r="F46" i="19"/>
  <c r="F49" i="19"/>
  <c r="D26" i="19"/>
  <c r="D120" i="19"/>
  <c r="F120" i="19" s="1"/>
  <c r="D121" i="19"/>
  <c r="F121" i="19" s="1"/>
  <c r="D122" i="19"/>
  <c r="F122" i="19" s="1"/>
  <c r="D11" i="19"/>
  <c r="F11" i="19" s="1"/>
  <c r="D12" i="19"/>
  <c r="F12" i="19" s="1"/>
  <c r="D13" i="19"/>
  <c r="F13" i="19" s="1"/>
  <c r="G10" i="19" s="1"/>
  <c r="D14" i="19"/>
  <c r="F14" i="19" s="1"/>
  <c r="D15" i="19"/>
  <c r="F15" i="19" s="1"/>
  <c r="D16" i="19"/>
  <c r="F16" i="19" s="1"/>
  <c r="D19" i="19"/>
  <c r="F19" i="19" s="1"/>
  <c r="D129" i="19"/>
  <c r="F129" i="19" s="1"/>
  <c r="D130" i="19"/>
  <c r="F130" i="19" s="1"/>
  <c r="D131" i="19"/>
  <c r="F131" i="19" s="1"/>
  <c r="D132" i="19"/>
  <c r="F132" i="19" s="1"/>
  <c r="D133" i="19"/>
  <c r="F133" i="19" s="1"/>
  <c r="D134" i="19"/>
  <c r="D136" i="19"/>
  <c r="F136" i="19" s="1"/>
  <c r="D138" i="19"/>
  <c r="F138" i="19" s="1"/>
  <c r="D139" i="19"/>
  <c r="F139" i="19" s="1"/>
  <c r="D140" i="19"/>
  <c r="G67" i="19"/>
  <c r="D114" i="19"/>
  <c r="D85" i="25"/>
  <c r="F85" i="25" s="1"/>
  <c r="D86" i="25"/>
  <c r="F86" i="25" s="1"/>
  <c r="D58" i="23"/>
  <c r="F58" i="23" s="1"/>
  <c r="D59" i="23"/>
  <c r="F59" i="23" s="1"/>
  <c r="D14" i="26"/>
  <c r="F23" i="26"/>
  <c r="F24" i="26"/>
  <c r="F25" i="26"/>
  <c r="F26" i="26"/>
  <c r="F27" i="26"/>
  <c r="D10" i="26"/>
  <c r="F10" i="26" s="1"/>
  <c r="D11" i="26"/>
  <c r="F11" i="26" s="1"/>
  <c r="D12" i="26"/>
  <c r="F12" i="26" s="1"/>
  <c r="D13" i="26"/>
  <c r="F13" i="26" s="1"/>
  <c r="F21" i="26"/>
  <c r="G19" i="26" s="1"/>
  <c r="D16" i="26"/>
  <c r="F16" i="26" s="1"/>
  <c r="D18" i="26"/>
  <c r="F18" i="26" s="1"/>
  <c r="F4" i="26"/>
  <c r="F5" i="26"/>
  <c r="F7" i="26"/>
  <c r="F85" i="23"/>
  <c r="G83" i="23" s="1"/>
  <c r="D74" i="23"/>
  <c r="F74" i="23" s="1"/>
  <c r="F75" i="23"/>
  <c r="D76" i="23"/>
  <c r="F76" i="23" s="1"/>
  <c r="F87" i="23"/>
  <c r="F88" i="23"/>
  <c r="F89" i="23"/>
  <c r="F90" i="23"/>
  <c r="D68" i="23"/>
  <c r="D69" i="23"/>
  <c r="F69" i="23" s="1"/>
  <c r="D70" i="23"/>
  <c r="F70" i="23" s="1"/>
  <c r="D71" i="23"/>
  <c r="F71" i="23" s="1"/>
  <c r="D72" i="23"/>
  <c r="F72" i="23" s="1"/>
  <c r="D78" i="23"/>
  <c r="F78" i="23" s="1"/>
  <c r="D79" i="23"/>
  <c r="F79" i="23" s="1"/>
  <c r="D80" i="23"/>
  <c r="F80" i="23" s="1"/>
  <c r="F81" i="23"/>
  <c r="D82" i="23"/>
  <c r="F82" i="23" s="1"/>
  <c r="F7" i="23"/>
  <c r="F4" i="23"/>
  <c r="F5" i="23"/>
  <c r="F6" i="23"/>
  <c r="F8" i="23"/>
  <c r="F9" i="23"/>
  <c r="D150" i="23"/>
  <c r="F150" i="23" s="1"/>
  <c r="D148" i="23"/>
  <c r="F148" i="23" s="1"/>
  <c r="D149" i="23"/>
  <c r="F149" i="23" s="1"/>
  <c r="D144" i="23"/>
  <c r="F144" i="23" s="1"/>
  <c r="D145" i="23"/>
  <c r="F145" i="23" s="1"/>
  <c r="D146" i="23"/>
  <c r="F146" i="23" s="1"/>
  <c r="D152" i="23"/>
  <c r="F152" i="23" s="1"/>
  <c r="D153" i="23"/>
  <c r="F153" i="23" s="1"/>
  <c r="D154" i="23"/>
  <c r="F154" i="23" s="1"/>
  <c r="D156" i="23"/>
  <c r="F156" i="23" s="1"/>
  <c r="D158" i="23"/>
  <c r="F158" i="23" s="1"/>
  <c r="D159" i="23"/>
  <c r="F159" i="23" s="1"/>
  <c r="D27" i="23"/>
  <c r="F27" i="23" s="1"/>
  <c r="D28" i="23"/>
  <c r="F28" i="23" s="1"/>
  <c r="D29" i="23"/>
  <c r="F29" i="23" s="1"/>
  <c r="D30" i="23"/>
  <c r="F30" i="23" s="1"/>
  <c r="D31" i="23"/>
  <c r="F31" i="23" s="1"/>
  <c r="D46" i="23"/>
  <c r="D47" i="23"/>
  <c r="F47" i="23" s="1"/>
  <c r="D48" i="23"/>
  <c r="F48" i="23" s="1"/>
  <c r="D49" i="23"/>
  <c r="F49" i="23" s="1"/>
  <c r="D50" i="23"/>
  <c r="F50" i="23" s="1"/>
  <c r="D51" i="23"/>
  <c r="F51" i="23" s="1"/>
  <c r="F52" i="23"/>
  <c r="D166" i="23"/>
  <c r="F166" i="23" s="1"/>
  <c r="D167" i="23"/>
  <c r="F167" i="23" s="1"/>
  <c r="D168" i="23"/>
  <c r="F168" i="23" s="1"/>
  <c r="D169" i="23"/>
  <c r="F169" i="23" s="1"/>
  <c r="D170" i="23"/>
  <c r="F170" i="23" s="1"/>
  <c r="D171" i="23"/>
  <c r="D173" i="23"/>
  <c r="F173" i="23" s="1"/>
  <c r="D175" i="23"/>
  <c r="F175" i="23" s="1"/>
  <c r="D176" i="23"/>
  <c r="F176" i="23" s="1"/>
  <c r="D177" i="23"/>
  <c r="D179" i="23"/>
  <c r="D182" i="23"/>
  <c r="G182" i="23" s="1"/>
  <c r="F33" i="23"/>
  <c r="D34" i="23"/>
  <c r="F34" i="23" s="1"/>
  <c r="D35" i="23"/>
  <c r="F35" i="23" s="1"/>
  <c r="D36" i="23"/>
  <c r="F36" i="23" s="1"/>
  <c r="D37" i="23"/>
  <c r="D39" i="23"/>
  <c r="D40" i="23"/>
  <c r="F40" i="23" s="1"/>
  <c r="D41" i="23"/>
  <c r="F41" i="23" s="1"/>
  <c r="D42" i="23"/>
  <c r="F42" i="23" s="1"/>
  <c r="F43" i="23"/>
  <c r="D44" i="23"/>
  <c r="F44" i="23" s="1"/>
  <c r="C66" i="23"/>
  <c r="C65" i="23"/>
  <c r="C63" i="23"/>
  <c r="C62" i="23"/>
  <c r="A60" i="23"/>
  <c r="B60" i="23"/>
  <c r="C60" i="23"/>
  <c r="D90" i="21"/>
  <c r="F90" i="21" s="1"/>
  <c r="D91" i="21"/>
  <c r="F91" i="21" s="1"/>
  <c r="D92" i="21"/>
  <c r="F92" i="21" s="1"/>
  <c r="D94" i="21"/>
  <c r="G93" i="21" s="1"/>
  <c r="D95" i="21"/>
  <c r="F95" i="21" s="1"/>
  <c r="D31" i="15"/>
  <c r="F31" i="15" s="1"/>
  <c r="D32" i="15"/>
  <c r="F32" i="15" s="1"/>
  <c r="D34" i="15"/>
  <c r="F34" i="15" s="1"/>
  <c r="D35" i="15"/>
  <c r="F35" i="15" s="1"/>
  <c r="D83" i="18"/>
  <c r="F83" i="18" s="1"/>
  <c r="D84" i="18"/>
  <c r="F84" i="18" s="1"/>
  <c r="D86" i="18"/>
  <c r="F86" i="18" s="1"/>
  <c r="D87" i="18"/>
  <c r="F87" i="18" s="1"/>
  <c r="D37" i="11"/>
  <c r="F37" i="11" s="1"/>
  <c r="D38" i="11"/>
  <c r="F38" i="11" s="1"/>
  <c r="D40" i="11"/>
  <c r="F40" i="11" s="1"/>
  <c r="D41" i="11"/>
  <c r="F41" i="11" s="1"/>
  <c r="D73" i="18"/>
  <c r="D74" i="18"/>
  <c r="F74" i="18" s="1"/>
  <c r="D76" i="18"/>
  <c r="F76" i="18" s="1"/>
  <c r="D77" i="18"/>
  <c r="F77" i="18" s="1"/>
  <c r="D78" i="18"/>
  <c r="F78" i="18" s="1"/>
  <c r="D79" i="18"/>
  <c r="F79" i="18" s="1"/>
  <c r="D80" i="18"/>
  <c r="F80" i="18" s="1"/>
  <c r="C29" i="15"/>
  <c r="A29" i="15"/>
  <c r="B29" i="15"/>
  <c r="C41" i="11"/>
  <c r="C40" i="11"/>
  <c r="C38" i="11"/>
  <c r="C37" i="11"/>
  <c r="C35" i="11"/>
  <c r="A35" i="11"/>
  <c r="B35" i="11"/>
  <c r="C81" i="18"/>
  <c r="A81" i="18"/>
  <c r="B81" i="18"/>
  <c r="D108" i="18"/>
  <c r="F108" i="18" s="1"/>
  <c r="D109" i="18"/>
  <c r="F109" i="18" s="1"/>
  <c r="D105" i="18"/>
  <c r="F105" i="18" s="1"/>
  <c r="D106" i="18"/>
  <c r="F106" i="18" s="1"/>
  <c r="C109" i="18"/>
  <c r="C108" i="18"/>
  <c r="C106" i="18"/>
  <c r="C105" i="18"/>
  <c r="C104" i="18"/>
  <c r="A104" i="18"/>
  <c r="B104" i="18"/>
  <c r="D89" i="18"/>
  <c r="G88" i="18" s="1"/>
  <c r="D90" i="18"/>
  <c r="F90" i="18" s="1"/>
  <c r="D13" i="13"/>
  <c r="D14" i="13"/>
  <c r="F14" i="13" s="1"/>
  <c r="D16" i="13"/>
  <c r="F16" i="13" s="1"/>
  <c r="D17" i="13"/>
  <c r="F17" i="13" s="1"/>
  <c r="D18" i="13"/>
  <c r="F18" i="13" s="1"/>
  <c r="D19" i="13"/>
  <c r="F19" i="13" s="1"/>
  <c r="D20" i="13"/>
  <c r="F20" i="13" s="1"/>
  <c r="F94" i="15"/>
  <c r="F93" i="15"/>
  <c r="D115" i="15"/>
  <c r="F115" i="15" s="1"/>
  <c r="D117" i="15"/>
  <c r="F117" i="15" s="1"/>
  <c r="D118" i="15"/>
  <c r="F118" i="15" s="1"/>
  <c r="F83" i="15"/>
  <c r="F84" i="15"/>
  <c r="F85" i="15"/>
  <c r="F87" i="15"/>
  <c r="D40" i="15"/>
  <c r="F40" i="15" s="1"/>
  <c r="D41" i="15"/>
  <c r="F41" i="15" s="1"/>
  <c r="D42" i="15"/>
  <c r="F42" i="15" s="1"/>
  <c r="D43" i="15"/>
  <c r="F43" i="15" s="1"/>
  <c r="D44" i="15"/>
  <c r="F44" i="15" s="1"/>
  <c r="D37" i="15"/>
  <c r="G36" i="15" s="1"/>
  <c r="D38" i="15"/>
  <c r="F38" i="15" s="1"/>
  <c r="D4" i="15"/>
  <c r="F5" i="15"/>
  <c r="D6" i="15"/>
  <c r="F6" i="15" s="1"/>
  <c r="F8" i="15"/>
  <c r="F9" i="15"/>
  <c r="F18" i="15"/>
  <c r="F19" i="15"/>
  <c r="F22" i="15"/>
  <c r="D76" i="25"/>
  <c r="F76" i="25" s="1"/>
  <c r="D77" i="25"/>
  <c r="F77" i="25" s="1"/>
  <c r="D79" i="25"/>
  <c r="F79" i="25" s="1"/>
  <c r="D80" i="25"/>
  <c r="F80" i="25" s="1"/>
  <c r="D81" i="25"/>
  <c r="F81" i="25" s="1"/>
  <c r="D82" i="25"/>
  <c r="F82" i="25" s="1"/>
  <c r="D83" i="25"/>
  <c r="F83" i="25" s="1"/>
  <c r="D89" i="25"/>
  <c r="F89" i="25" s="1"/>
  <c r="D90" i="25"/>
  <c r="F90" i="25" s="1"/>
  <c r="D92" i="25"/>
  <c r="F92" i="25" s="1"/>
  <c r="D93" i="25"/>
  <c r="F93" i="25" s="1"/>
  <c r="F67" i="13"/>
  <c r="F66" i="13"/>
  <c r="F64" i="13"/>
  <c r="F63" i="13"/>
  <c r="F37" i="8"/>
  <c r="F38" i="8"/>
  <c r="F39" i="8"/>
  <c r="F41" i="8"/>
  <c r="D101" i="10"/>
  <c r="G101" i="10" s="1"/>
  <c r="C101" i="10"/>
  <c r="B101" i="10"/>
  <c r="C178" i="23"/>
  <c r="A178" i="23"/>
  <c r="B178" i="23"/>
  <c r="D109" i="13"/>
  <c r="F109" i="13" s="1"/>
  <c r="D111" i="13"/>
  <c r="F111" i="13" s="1"/>
  <c r="D112" i="13"/>
  <c r="F112" i="13" s="1"/>
  <c r="C112" i="13"/>
  <c r="C111" i="13"/>
  <c r="C109" i="13"/>
  <c r="C108" i="13"/>
  <c r="A108" i="13"/>
  <c r="B108" i="13"/>
  <c r="D50" i="24"/>
  <c r="F50" i="24" s="1"/>
  <c r="F51" i="24"/>
  <c r="D52" i="24"/>
  <c r="F52" i="24" s="1"/>
  <c r="D53" i="24"/>
  <c r="F53" i="24" s="1"/>
  <c r="C53" i="24"/>
  <c r="C52" i="24"/>
  <c r="C50" i="24"/>
  <c r="C49" i="24"/>
  <c r="A49" i="24"/>
  <c r="B49" i="24"/>
  <c r="B160" i="25"/>
  <c r="A160" i="25"/>
  <c r="C160" i="25"/>
  <c r="C156" i="25"/>
  <c r="A156" i="25"/>
  <c r="B156" i="25"/>
  <c r="A83" i="17"/>
  <c r="B83" i="17"/>
  <c r="C83" i="17"/>
  <c r="B127" i="10"/>
  <c r="A127" i="10"/>
  <c r="C127" i="10"/>
  <c r="A119" i="15"/>
  <c r="B119" i="15"/>
  <c r="C119" i="15"/>
  <c r="C142" i="20"/>
  <c r="A142" i="20"/>
  <c r="B142" i="20"/>
  <c r="C79" i="17"/>
  <c r="A79" i="17"/>
  <c r="B79" i="17"/>
  <c r="C94" i="10"/>
  <c r="C92" i="10"/>
  <c r="A92" i="10"/>
  <c r="B92" i="10"/>
  <c r="D17" i="17"/>
  <c r="F17" i="17" s="1"/>
  <c r="D18" i="17"/>
  <c r="F18" i="17" s="1"/>
  <c r="F53" i="17"/>
  <c r="F54" i="17"/>
  <c r="F56" i="17"/>
  <c r="F57" i="17"/>
  <c r="D89" i="17"/>
  <c r="F89" i="17" s="1"/>
  <c r="D90" i="17"/>
  <c r="F90" i="17" s="1"/>
  <c r="D91" i="17"/>
  <c r="F91" i="17" s="1"/>
  <c r="D93" i="17"/>
  <c r="F93" i="17" s="1"/>
  <c r="D94" i="17"/>
  <c r="F94" i="17" s="1"/>
  <c r="D95" i="17"/>
  <c r="F95" i="17" s="1"/>
  <c r="D23" i="17"/>
  <c r="D24" i="17"/>
  <c r="F24" i="17" s="1"/>
  <c r="D25" i="17"/>
  <c r="F25" i="17" s="1"/>
  <c r="D26" i="17"/>
  <c r="F26" i="17" s="1"/>
  <c r="D27" i="17"/>
  <c r="F27" i="17" s="1"/>
  <c r="D164" i="18"/>
  <c r="D162" i="18"/>
  <c r="F162" i="18" s="1"/>
  <c r="D163" i="18"/>
  <c r="F163" i="18" s="1"/>
  <c r="D92" i="18"/>
  <c r="F92" i="18" s="1"/>
  <c r="D93" i="18"/>
  <c r="D94" i="18"/>
  <c r="F94" i="18" s="1"/>
  <c r="D95" i="18"/>
  <c r="F95" i="18" s="1"/>
  <c r="D97" i="18"/>
  <c r="F97" i="18" s="1"/>
  <c r="D99" i="18"/>
  <c r="F99" i="18" s="1"/>
  <c r="D101" i="18"/>
  <c r="F62" i="18"/>
  <c r="F63" i="18"/>
  <c r="F66" i="18"/>
  <c r="F50" i="18"/>
  <c r="F52" i="18"/>
  <c r="D166" i="18"/>
  <c r="F166" i="18" s="1"/>
  <c r="D167" i="18"/>
  <c r="F167" i="18" s="1"/>
  <c r="D168" i="18"/>
  <c r="F168" i="18" s="1"/>
  <c r="D170" i="18"/>
  <c r="F170" i="18" s="1"/>
  <c r="D172" i="18"/>
  <c r="F172" i="18" s="1"/>
  <c r="D173" i="18"/>
  <c r="F173" i="18" s="1"/>
  <c r="D12" i="18"/>
  <c r="F12" i="18" s="1"/>
  <c r="D20" i="18"/>
  <c r="F20" i="18" s="1"/>
  <c r="D21" i="18"/>
  <c r="F21" i="18" s="1"/>
  <c r="D22" i="18"/>
  <c r="F22" i="18" s="1"/>
  <c r="D23" i="18"/>
  <c r="F23" i="18" s="1"/>
  <c r="D24" i="18"/>
  <c r="D4" i="18"/>
  <c r="F4" i="18" s="1"/>
  <c r="D5" i="18"/>
  <c r="F5" i="18" s="1"/>
  <c r="D6" i="18"/>
  <c r="F6" i="18" s="1"/>
  <c r="D7" i="18"/>
  <c r="F7" i="18" s="1"/>
  <c r="D8" i="18"/>
  <c r="F8" i="18" s="1"/>
  <c r="D9" i="18"/>
  <c r="F9" i="18" s="1"/>
  <c r="D10" i="18"/>
  <c r="F10" i="18" s="1"/>
  <c r="D175" i="18"/>
  <c r="F175" i="18" s="1"/>
  <c r="D176" i="18"/>
  <c r="F176" i="18" s="1"/>
  <c r="D177" i="18"/>
  <c r="F177" i="18" s="1"/>
  <c r="D178" i="18"/>
  <c r="F178" i="18" s="1"/>
  <c r="D179" i="18"/>
  <c r="F179" i="18" s="1"/>
  <c r="D180" i="18"/>
  <c r="D182" i="18"/>
  <c r="F182" i="18" s="1"/>
  <c r="D184" i="18"/>
  <c r="F184" i="18" s="1"/>
  <c r="D185" i="18"/>
  <c r="F185" i="18" s="1"/>
  <c r="D186" i="18"/>
  <c r="D29" i="18"/>
  <c r="F29" i="18" s="1"/>
  <c r="D30" i="18"/>
  <c r="F30" i="18" s="1"/>
  <c r="D31" i="18"/>
  <c r="F31" i="18" s="1"/>
  <c r="D32" i="18"/>
  <c r="F32" i="18" s="1"/>
  <c r="F33" i="18"/>
  <c r="D34" i="18"/>
  <c r="F34" i="18" s="1"/>
  <c r="D37" i="18"/>
  <c r="D38" i="18"/>
  <c r="F38" i="18" s="1"/>
  <c r="D39" i="18"/>
  <c r="F39" i="18" s="1"/>
  <c r="D40" i="18"/>
  <c r="F40" i="18" s="1"/>
  <c r="D41" i="18"/>
  <c r="F41" i="18" s="1"/>
  <c r="D42" i="18"/>
  <c r="F42" i="18" s="1"/>
  <c r="F43" i="18"/>
  <c r="F45" i="20"/>
  <c r="F46" i="20"/>
  <c r="F49" i="20"/>
  <c r="D26" i="20"/>
  <c r="D30" i="20"/>
  <c r="F30" i="20" s="1"/>
  <c r="D31" i="20"/>
  <c r="F31" i="20" s="1"/>
  <c r="D147" i="20"/>
  <c r="F147" i="20" s="1"/>
  <c r="D148" i="20"/>
  <c r="F148" i="20" s="1"/>
  <c r="D149" i="20"/>
  <c r="F149" i="20" s="1"/>
  <c r="D18" i="20"/>
  <c r="F18" i="20" s="1"/>
  <c r="D19" i="20"/>
  <c r="F19" i="20" s="1"/>
  <c r="D20" i="20"/>
  <c r="F20" i="20" s="1"/>
  <c r="D21" i="20"/>
  <c r="F21" i="20" s="1"/>
  <c r="D22" i="20"/>
  <c r="F22" i="20" s="1"/>
  <c r="D23" i="20"/>
  <c r="F23" i="20" s="1"/>
  <c r="F24" i="20"/>
  <c r="F85" i="20"/>
  <c r="F86" i="20"/>
  <c r="F87" i="20"/>
  <c r="F88" i="20"/>
  <c r="F89" i="20"/>
  <c r="F82" i="20"/>
  <c r="F83" i="20"/>
  <c r="F72" i="20"/>
  <c r="F73" i="20"/>
  <c r="F74" i="20"/>
  <c r="F75" i="20"/>
  <c r="F76" i="20"/>
  <c r="F77" i="20"/>
  <c r="F92" i="20"/>
  <c r="F93" i="20"/>
  <c r="F95" i="20"/>
  <c r="F97" i="20"/>
  <c r="G96" i="20" s="1"/>
  <c r="F98" i="20"/>
  <c r="F99" i="20"/>
  <c r="D165" i="20"/>
  <c r="F165" i="20" s="1"/>
  <c r="D166" i="20"/>
  <c r="F166" i="20" s="1"/>
  <c r="D167" i="20"/>
  <c r="F167" i="20" s="1"/>
  <c r="D168" i="20"/>
  <c r="F168" i="20" s="1"/>
  <c r="D169" i="20"/>
  <c r="F169" i="20" s="1"/>
  <c r="D170" i="20"/>
  <c r="D172" i="20"/>
  <c r="F172" i="20" s="1"/>
  <c r="D174" i="20"/>
  <c r="F174" i="20" s="1"/>
  <c r="D175" i="20"/>
  <c r="F175" i="20" s="1"/>
  <c r="D176" i="20"/>
  <c r="D162" i="20"/>
  <c r="F162" i="20" s="1"/>
  <c r="D163" i="20"/>
  <c r="F163" i="20" s="1"/>
  <c r="D156" i="20"/>
  <c r="F156" i="20" s="1"/>
  <c r="D157" i="20"/>
  <c r="F157" i="20" s="1"/>
  <c r="D158" i="20"/>
  <c r="F158" i="20" s="1"/>
  <c r="D160" i="20"/>
  <c r="F160" i="20" s="1"/>
  <c r="D11" i="20"/>
  <c r="F11" i="20" s="1"/>
  <c r="D12" i="20"/>
  <c r="F12" i="20" s="1"/>
  <c r="D13" i="20"/>
  <c r="F13" i="20" s="1"/>
  <c r="D14" i="20"/>
  <c r="F14" i="20" s="1"/>
  <c r="D16" i="20"/>
  <c r="F16" i="20" s="1"/>
  <c r="D103" i="21"/>
  <c r="F103" i="21" s="1"/>
  <c r="D104" i="21"/>
  <c r="F104" i="21" s="1"/>
  <c r="D105" i="21"/>
  <c r="F105" i="21" s="1"/>
  <c r="D106" i="21"/>
  <c r="F106" i="21" s="1"/>
  <c r="D108" i="21"/>
  <c r="F108" i="21" s="1"/>
  <c r="D110" i="21"/>
  <c r="F110" i="21" s="1"/>
  <c r="D150" i="21"/>
  <c r="F150" i="21" s="1"/>
  <c r="D151" i="21"/>
  <c r="F151" i="21" s="1"/>
  <c r="D27" i="21"/>
  <c r="F27" i="21" s="1"/>
  <c r="D28" i="21"/>
  <c r="F28" i="21" s="1"/>
  <c r="D29" i="21"/>
  <c r="F29" i="21" s="1"/>
  <c r="D30" i="21"/>
  <c r="F30" i="21" s="1"/>
  <c r="D31" i="21"/>
  <c r="G63" i="21"/>
  <c r="D140" i="21"/>
  <c r="F140" i="21" s="1"/>
  <c r="D141" i="21"/>
  <c r="F141" i="21" s="1"/>
  <c r="D142" i="21"/>
  <c r="F142" i="21" s="1"/>
  <c r="D50" i="21"/>
  <c r="D51" i="21"/>
  <c r="F51" i="21" s="1"/>
  <c r="D52" i="21"/>
  <c r="F52" i="21" s="1"/>
  <c r="D54" i="21"/>
  <c r="F54" i="21" s="1"/>
  <c r="F56" i="21"/>
  <c r="D154" i="21"/>
  <c r="F154" i="21" s="1"/>
  <c r="D155" i="21"/>
  <c r="F155" i="21" s="1"/>
  <c r="D156" i="21"/>
  <c r="F156" i="21" s="1"/>
  <c r="D157" i="21"/>
  <c r="F157" i="21" s="1"/>
  <c r="D158" i="21"/>
  <c r="F158" i="21" s="1"/>
  <c r="D159" i="21"/>
  <c r="F159" i="21" s="1"/>
  <c r="D161" i="21"/>
  <c r="F161" i="21" s="1"/>
  <c r="D163" i="21"/>
  <c r="F163" i="21" s="1"/>
  <c r="D164" i="21"/>
  <c r="F164" i="21" s="1"/>
  <c r="F36" i="21"/>
  <c r="D37" i="21"/>
  <c r="F37" i="21" s="1"/>
  <c r="D38" i="21"/>
  <c r="F38" i="21" s="1"/>
  <c r="D39" i="21"/>
  <c r="F39" i="21" s="1"/>
  <c r="D40" i="21"/>
  <c r="D42" i="21"/>
  <c r="D43" i="21"/>
  <c r="F43" i="21" s="1"/>
  <c r="D44" i="21"/>
  <c r="F44" i="21" s="1"/>
  <c r="D45" i="21"/>
  <c r="F45" i="21" s="1"/>
  <c r="F46" i="21"/>
  <c r="D47" i="21"/>
  <c r="F47" i="21" s="1"/>
  <c r="D56" i="12"/>
  <c r="F56" i="12" s="1"/>
  <c r="D57" i="12"/>
  <c r="F57" i="12" s="1"/>
  <c r="D58" i="12"/>
  <c r="F58" i="12" s="1"/>
  <c r="F59" i="12"/>
  <c r="F60" i="12"/>
  <c r="F4" i="12"/>
  <c r="F5" i="12"/>
  <c r="F6" i="12"/>
  <c r="F46" i="12"/>
  <c r="F47" i="12"/>
  <c r="F69" i="11"/>
  <c r="F70" i="11"/>
  <c r="F71" i="11"/>
  <c r="F72" i="11"/>
  <c r="F73" i="11"/>
  <c r="C9" i="11"/>
  <c r="B9" i="11"/>
  <c r="G75" i="24"/>
  <c r="D10" i="24"/>
  <c r="F10" i="24" s="1"/>
  <c r="D11" i="24"/>
  <c r="F11" i="24" s="1"/>
  <c r="D12" i="24"/>
  <c r="F12" i="24" s="1"/>
  <c r="D13" i="24"/>
  <c r="F13" i="24" s="1"/>
  <c r="D15" i="24"/>
  <c r="F15" i="24" s="1"/>
  <c r="D47" i="24"/>
  <c r="F47" i="24" s="1"/>
  <c r="D48" i="24"/>
  <c r="F48" i="24" s="1"/>
  <c r="D76" i="24"/>
  <c r="G76" i="24" s="1"/>
  <c r="D77" i="24"/>
  <c r="G77" i="24" s="1"/>
  <c r="D78" i="24"/>
  <c r="G78" i="24" s="1"/>
  <c r="D79" i="24"/>
  <c r="G79" i="24" s="1"/>
  <c r="F23" i="24"/>
  <c r="F24" i="24"/>
  <c r="F25" i="24"/>
  <c r="D41" i="24"/>
  <c r="F41" i="24" s="1"/>
  <c r="D42" i="24"/>
  <c r="F42" i="24" s="1"/>
  <c r="D43" i="24"/>
  <c r="F43" i="24" s="1"/>
  <c r="F44" i="24"/>
  <c r="D45" i="24"/>
  <c r="F45" i="24" s="1"/>
  <c r="F32" i="24"/>
  <c r="F33" i="24"/>
  <c r="F34" i="24"/>
  <c r="F35" i="24"/>
  <c r="D59" i="24"/>
  <c r="F59" i="24" s="1"/>
  <c r="D60" i="24"/>
  <c r="D62" i="24"/>
  <c r="F62" i="24" s="1"/>
  <c r="D64" i="24"/>
  <c r="F64" i="24" s="1"/>
  <c r="D65" i="24"/>
  <c r="F65" i="24" s="1"/>
  <c r="D66" i="24"/>
  <c r="F66" i="24" s="1"/>
  <c r="D67" i="24"/>
  <c r="F67" i="24" s="1"/>
  <c r="D68" i="24"/>
  <c r="F68" i="24" s="1"/>
  <c r="D69" i="24"/>
  <c r="F69" i="24" s="1"/>
  <c r="D71" i="24"/>
  <c r="F71" i="24" s="1"/>
  <c r="F72" i="24"/>
  <c r="D73" i="24"/>
  <c r="F73" i="24" s="1"/>
  <c r="D74" i="24"/>
  <c r="F74" i="24" s="1"/>
  <c r="D55" i="24"/>
  <c r="F55" i="24" s="1"/>
  <c r="D56" i="24"/>
  <c r="F56" i="24" s="1"/>
  <c r="D57" i="24"/>
  <c r="F57" i="24" s="1"/>
  <c r="F27" i="24"/>
  <c r="F28" i="24"/>
  <c r="F29" i="24"/>
  <c r="F30" i="24"/>
  <c r="F4" i="24"/>
  <c r="D5" i="24"/>
  <c r="F5" i="24" s="1"/>
  <c r="D6" i="24"/>
  <c r="F6" i="24" s="1"/>
  <c r="D7" i="24"/>
  <c r="F7" i="24" s="1"/>
  <c r="D8" i="24"/>
  <c r="F8" i="24" s="1"/>
  <c r="D147" i="25"/>
  <c r="F147" i="25" s="1"/>
  <c r="D148" i="25"/>
  <c r="F148" i="25" s="1"/>
  <c r="D149" i="25"/>
  <c r="F149" i="25" s="1"/>
  <c r="D176" i="25"/>
  <c r="F176" i="25" s="1"/>
  <c r="D177" i="25"/>
  <c r="F177" i="25" s="1"/>
  <c r="D178" i="25"/>
  <c r="F178" i="25" s="1"/>
  <c r="D179" i="25"/>
  <c r="F179" i="25" s="1"/>
  <c r="D106" i="25"/>
  <c r="F106" i="25" s="1"/>
  <c r="D107" i="25"/>
  <c r="F107" i="25" s="1"/>
  <c r="D108" i="25"/>
  <c r="F108" i="25" s="1"/>
  <c r="D110" i="25"/>
  <c r="F110" i="25" s="1"/>
  <c r="D166" i="25"/>
  <c r="F166" i="25" s="1"/>
  <c r="D167" i="25"/>
  <c r="F167" i="25" s="1"/>
  <c r="D168" i="25"/>
  <c r="F168" i="25" s="1"/>
  <c r="F56" i="25"/>
  <c r="F57" i="25"/>
  <c r="F58" i="25"/>
  <c r="F59" i="25"/>
  <c r="D101" i="25"/>
  <c r="F101" i="25" s="1"/>
  <c r="D102" i="25"/>
  <c r="F102" i="25" s="1"/>
  <c r="D103" i="25"/>
  <c r="F103" i="25" s="1"/>
  <c r="D104" i="25"/>
  <c r="F104" i="25" s="1"/>
  <c r="D49" i="25"/>
  <c r="F49" i="25" s="1"/>
  <c r="F52" i="25"/>
  <c r="F53" i="25"/>
  <c r="F4" i="25"/>
  <c r="F62" i="25"/>
  <c r="F63" i="25"/>
  <c r="F69" i="25"/>
  <c r="F70" i="25"/>
  <c r="F73" i="25"/>
  <c r="D95" i="25"/>
  <c r="F95" i="25" s="1"/>
  <c r="D96" i="25"/>
  <c r="F96" i="25" s="1"/>
  <c r="D97" i="25"/>
  <c r="F97" i="25" s="1"/>
  <c r="D98" i="25"/>
  <c r="F98" i="25" s="1"/>
  <c r="D99" i="25"/>
  <c r="F99" i="25" s="1"/>
  <c r="D186" i="25"/>
  <c r="D181" i="25"/>
  <c r="F181" i="25" s="1"/>
  <c r="D182" i="25"/>
  <c r="F182" i="25" s="1"/>
  <c r="D183" i="25"/>
  <c r="F183" i="25" s="1"/>
  <c r="D184" i="25"/>
  <c r="F184" i="25" s="1"/>
  <c r="D185" i="25"/>
  <c r="F185" i="25" s="1"/>
  <c r="D170" i="25"/>
  <c r="F170" i="25" s="1"/>
  <c r="D171" i="25"/>
  <c r="F171" i="25" s="1"/>
  <c r="D172" i="25"/>
  <c r="F172" i="25" s="1"/>
  <c r="D174" i="25"/>
  <c r="F174" i="25" s="1"/>
  <c r="D19" i="25"/>
  <c r="F19" i="25" s="1"/>
  <c r="D20" i="25"/>
  <c r="F20" i="25" s="1"/>
  <c r="D21" i="25"/>
  <c r="F21" i="25" s="1"/>
  <c r="D22" i="25"/>
  <c r="F22" i="25" s="1"/>
  <c r="D23" i="25"/>
  <c r="F23" i="25" s="1"/>
  <c r="D24" i="25"/>
  <c r="F24" i="25" s="1"/>
  <c r="D25" i="25"/>
  <c r="F25" i="25" s="1"/>
  <c r="D11" i="25"/>
  <c r="F11" i="25" s="1"/>
  <c r="D12" i="25"/>
  <c r="F12" i="25" s="1"/>
  <c r="D13" i="25"/>
  <c r="F13" i="25" s="1"/>
  <c r="D16" i="25"/>
  <c r="F16" i="25" s="1"/>
  <c r="D17" i="25"/>
  <c r="F17" i="25" s="1"/>
  <c r="D27" i="25"/>
  <c r="F27" i="25" s="1"/>
  <c r="D28" i="25"/>
  <c r="F28" i="25" s="1"/>
  <c r="D29" i="25"/>
  <c r="F29" i="25" s="1"/>
  <c r="D30" i="25"/>
  <c r="F30" i="25" s="1"/>
  <c r="D31" i="25"/>
  <c r="D33" i="25"/>
  <c r="F33" i="25" s="1"/>
  <c r="D34" i="25"/>
  <c r="F34" i="25" s="1"/>
  <c r="F35" i="25"/>
  <c r="F37" i="25"/>
  <c r="F38" i="25"/>
  <c r="F39" i="25"/>
  <c r="F40" i="25"/>
  <c r="D42" i="25"/>
  <c r="F42" i="25" s="1"/>
  <c r="F28" i="27"/>
  <c r="F29" i="27"/>
  <c r="F30" i="27"/>
  <c r="F31" i="27"/>
  <c r="D34" i="27"/>
  <c r="F34" i="27" s="1"/>
  <c r="D35" i="27"/>
  <c r="F35" i="27" s="1"/>
  <c r="D36" i="27"/>
  <c r="F36" i="27" s="1"/>
  <c r="D42" i="27"/>
  <c r="F42" i="27" s="1"/>
  <c r="D43" i="27"/>
  <c r="F43" i="27" s="1"/>
  <c r="D44" i="27"/>
  <c r="F44" i="27" s="1"/>
  <c r="D45" i="27"/>
  <c r="F45" i="27" s="1"/>
  <c r="D46" i="27"/>
  <c r="F46" i="27" s="1"/>
  <c r="D47" i="27"/>
  <c r="D49" i="27"/>
  <c r="F49" i="27" s="1"/>
  <c r="F50" i="27"/>
  <c r="D51" i="27"/>
  <c r="F51" i="27" s="1"/>
  <c r="D52" i="27"/>
  <c r="F52" i="27" s="1"/>
  <c r="F22" i="27"/>
  <c r="D17" i="27"/>
  <c r="F17" i="27" s="1"/>
  <c r="D19" i="27"/>
  <c r="F19" i="27" s="1"/>
  <c r="F21" i="27"/>
  <c r="D10" i="27"/>
  <c r="F10" i="27" s="1"/>
  <c r="D11" i="27"/>
  <c r="F11" i="27" s="1"/>
  <c r="D12" i="27"/>
  <c r="F12" i="27" s="1"/>
  <c r="D13" i="27"/>
  <c r="F13" i="27" s="1"/>
  <c r="D15" i="27"/>
  <c r="F15" i="27" s="1"/>
  <c r="F4" i="27"/>
  <c r="D5" i="27"/>
  <c r="F5" i="27" s="1"/>
  <c r="D6" i="27"/>
  <c r="F6" i="27" s="1"/>
  <c r="D7" i="27"/>
  <c r="F7" i="27" s="1"/>
  <c r="D8" i="27"/>
  <c r="D38" i="27"/>
  <c r="D39" i="27"/>
  <c r="D53" i="27"/>
  <c r="D54" i="27"/>
  <c r="F67" i="15"/>
  <c r="F68" i="15"/>
  <c r="F69" i="15"/>
  <c r="F58" i="15"/>
  <c r="F59" i="15"/>
  <c r="F60" i="15"/>
  <c r="F61" i="15"/>
  <c r="F62" i="15"/>
  <c r="F63" i="15"/>
  <c r="F71" i="15"/>
  <c r="F72" i="15"/>
  <c r="F73" i="15"/>
  <c r="F74" i="15"/>
  <c r="F75" i="15"/>
  <c r="F77" i="15"/>
  <c r="F78" i="15"/>
  <c r="F79" i="15"/>
  <c r="F80" i="15"/>
  <c r="F125" i="15"/>
  <c r="F126" i="15"/>
  <c r="D129" i="15"/>
  <c r="F129" i="15" s="1"/>
  <c r="D130" i="15"/>
  <c r="F130" i="15" s="1"/>
  <c r="D131" i="15"/>
  <c r="F131" i="15" s="1"/>
  <c r="D133" i="15"/>
  <c r="F133" i="15" s="1"/>
  <c r="D135" i="15"/>
  <c r="F135" i="15" s="1"/>
  <c r="D136" i="15"/>
  <c r="F136" i="15" s="1"/>
  <c r="F89" i="15"/>
  <c r="G88" i="15" s="1"/>
  <c r="F90" i="15"/>
  <c r="F91" i="15"/>
  <c r="D46" i="15"/>
  <c r="F46" i="15" s="1"/>
  <c r="D47" i="15"/>
  <c r="F47" i="15" s="1"/>
  <c r="D48" i="15"/>
  <c r="F48" i="15" s="1"/>
  <c r="D49" i="15"/>
  <c r="F49" i="15" s="1"/>
  <c r="D51" i="15"/>
  <c r="F51" i="15" s="1"/>
  <c r="F52" i="15"/>
  <c r="D53" i="15"/>
  <c r="F53" i="15" s="1"/>
  <c r="F55" i="15"/>
  <c r="G54" i="15" s="1"/>
  <c r="D138" i="15"/>
  <c r="G138" i="15" s="1"/>
  <c r="D139" i="15"/>
  <c r="G139" i="15" s="1"/>
  <c r="D137" i="15"/>
  <c r="G137" i="15" s="1"/>
  <c r="D30" i="14"/>
  <c r="F30" i="14" s="1"/>
  <c r="D31" i="14"/>
  <c r="F31" i="14" s="1"/>
  <c r="D32" i="14"/>
  <c r="F32" i="14" s="1"/>
  <c r="F33" i="14"/>
  <c r="D34" i="14"/>
  <c r="F34" i="14" s="1"/>
  <c r="D108" i="14"/>
  <c r="D103" i="14"/>
  <c r="F103" i="14" s="1"/>
  <c r="D104" i="14"/>
  <c r="F104" i="14" s="1"/>
  <c r="D105" i="14"/>
  <c r="F105" i="14" s="1"/>
  <c r="D106" i="14"/>
  <c r="F106" i="14" s="1"/>
  <c r="D107" i="14"/>
  <c r="F107" i="14" s="1"/>
  <c r="D83" i="13"/>
  <c r="F83" i="13" s="1"/>
  <c r="D84" i="13"/>
  <c r="F84" i="13" s="1"/>
  <c r="D85" i="13"/>
  <c r="F85" i="13" s="1"/>
  <c r="F86" i="13"/>
  <c r="F87" i="13"/>
  <c r="F89" i="13"/>
  <c r="F90" i="13"/>
  <c r="F91" i="13"/>
  <c r="F57" i="13"/>
  <c r="F58" i="13"/>
  <c r="F59" i="13"/>
  <c r="F60" i="13"/>
  <c r="F61" i="13"/>
  <c r="F34" i="13"/>
  <c r="F36" i="13"/>
  <c r="F37" i="13"/>
  <c r="F46" i="13"/>
  <c r="F47" i="13"/>
  <c r="F48" i="13"/>
  <c r="F49" i="13"/>
  <c r="F51" i="13"/>
  <c r="F52" i="13"/>
  <c r="F53" i="13"/>
  <c r="D93" i="13"/>
  <c r="F93" i="13" s="1"/>
  <c r="D94" i="13"/>
  <c r="F94" i="13" s="1"/>
  <c r="D95" i="13"/>
  <c r="F95" i="13" s="1"/>
  <c r="F40" i="13"/>
  <c r="F41" i="13"/>
  <c r="F42" i="13"/>
  <c r="F43" i="13"/>
  <c r="F62" i="11"/>
  <c r="F63" i="11"/>
  <c r="F65" i="11"/>
  <c r="F66" i="11"/>
  <c r="F67" i="11"/>
  <c r="F75" i="11"/>
  <c r="F76" i="11"/>
  <c r="F77" i="11"/>
  <c r="F78" i="11"/>
  <c r="F79" i="11"/>
  <c r="F81" i="11"/>
  <c r="F82" i="11"/>
  <c r="F83" i="11"/>
  <c r="F85" i="11"/>
  <c r="D4" i="11"/>
  <c r="F4" i="11" s="1"/>
  <c r="F7" i="11"/>
  <c r="F8" i="11"/>
  <c r="D52" i="11"/>
  <c r="D48" i="11"/>
  <c r="F48" i="11" s="1"/>
  <c r="F49" i="11"/>
  <c r="D50" i="11"/>
  <c r="F50" i="11" s="1"/>
  <c r="D111" i="11"/>
  <c r="F111" i="11" s="1"/>
  <c r="D112" i="11"/>
  <c r="F112" i="11" s="1"/>
  <c r="D113" i="11"/>
  <c r="F113" i="11" s="1"/>
  <c r="D131" i="11"/>
  <c r="F131" i="11" s="1"/>
  <c r="D132" i="11"/>
  <c r="F132" i="11" s="1"/>
  <c r="D133" i="11"/>
  <c r="F133" i="11" s="1"/>
  <c r="D56" i="11"/>
  <c r="F56" i="11" s="1"/>
  <c r="D57" i="11"/>
  <c r="F57" i="11" s="1"/>
  <c r="D58" i="11"/>
  <c r="F58" i="11" s="1"/>
  <c r="F59" i="11"/>
  <c r="D60" i="11"/>
  <c r="F60" i="11" s="1"/>
  <c r="F29" i="11"/>
  <c r="F30" i="11"/>
  <c r="F33" i="11"/>
  <c r="D145" i="11"/>
  <c r="D140" i="11"/>
  <c r="F140" i="11" s="1"/>
  <c r="D141" i="11"/>
  <c r="F141" i="11" s="1"/>
  <c r="D142" i="11"/>
  <c r="F142" i="11" s="1"/>
  <c r="D143" i="11"/>
  <c r="F143" i="11" s="1"/>
  <c r="D144" i="11"/>
  <c r="F144" i="11" s="1"/>
  <c r="D146" i="11"/>
  <c r="G146" i="11" s="1"/>
  <c r="D26" i="10"/>
  <c r="F26" i="10" s="1"/>
  <c r="D27" i="10"/>
  <c r="F27" i="10" s="1"/>
  <c r="D28" i="10"/>
  <c r="F28" i="10" s="1"/>
  <c r="F29" i="10"/>
  <c r="D30" i="10"/>
  <c r="F30" i="10" s="1"/>
  <c r="F83" i="10"/>
  <c r="F84" i="10"/>
  <c r="F9" i="10"/>
  <c r="G8" i="10" s="1"/>
  <c r="D22" i="10"/>
  <c r="F22" i="10" s="1"/>
  <c r="F23" i="10"/>
  <c r="D24" i="10"/>
  <c r="F24" i="10" s="1"/>
  <c r="D17" i="10"/>
  <c r="F17" i="10" s="1"/>
  <c r="D18" i="10"/>
  <c r="F18" i="10" s="1"/>
  <c r="D19" i="10"/>
  <c r="F19" i="10" s="1"/>
  <c r="D20" i="10"/>
  <c r="F20" i="10" s="1"/>
  <c r="F4" i="10"/>
  <c r="F5" i="10"/>
  <c r="F6" i="10"/>
  <c r="F7" i="10"/>
  <c r="F87" i="10"/>
  <c r="D88" i="10"/>
  <c r="F88" i="10" s="1"/>
  <c r="F89" i="10"/>
  <c r="D90" i="10"/>
  <c r="F90" i="10" s="1"/>
  <c r="D91" i="10"/>
  <c r="F91" i="10" s="1"/>
  <c r="F58" i="10"/>
  <c r="F59" i="10"/>
  <c r="F60" i="10"/>
  <c r="F61" i="10"/>
  <c r="F62" i="10"/>
  <c r="F63" i="10"/>
  <c r="F72" i="10"/>
  <c r="G71" i="10" s="1"/>
  <c r="F73" i="10"/>
  <c r="F74" i="10"/>
  <c r="F78" i="9"/>
  <c r="D74" i="9"/>
  <c r="F74" i="9" s="1"/>
  <c r="D75" i="9"/>
  <c r="F75" i="9" s="1"/>
  <c r="D76" i="9"/>
  <c r="F76" i="9" s="1"/>
  <c r="F77" i="9"/>
  <c r="F22" i="31"/>
  <c r="G20" i="31" s="1"/>
  <c r="F23" i="31"/>
  <c r="F24" i="31"/>
  <c r="F25" i="31"/>
  <c r="F32" i="9"/>
  <c r="G31" i="9" s="1"/>
  <c r="F33" i="9"/>
  <c r="F36" i="9"/>
  <c r="F26" i="9"/>
  <c r="F27" i="9"/>
  <c r="F28" i="9"/>
  <c r="F29" i="9"/>
  <c r="F30" i="9"/>
  <c r="D22" i="9"/>
  <c r="F22" i="9" s="1"/>
  <c r="F23" i="9"/>
  <c r="D24" i="9"/>
  <c r="F24" i="9" s="1"/>
  <c r="D17" i="9"/>
  <c r="F17" i="9" s="1"/>
  <c r="D18" i="9"/>
  <c r="D19" i="9"/>
  <c r="F19" i="9" s="1"/>
  <c r="D20" i="9"/>
  <c r="F20" i="9" s="1"/>
  <c r="F90" i="9"/>
  <c r="F91" i="9"/>
  <c r="F92" i="9"/>
  <c r="F93" i="9"/>
  <c r="F84" i="9"/>
  <c r="D85" i="9"/>
  <c r="F85" i="9" s="1"/>
  <c r="F86" i="9"/>
  <c r="D87" i="9"/>
  <c r="F87" i="9" s="1"/>
  <c r="D88" i="9"/>
  <c r="F88" i="9" s="1"/>
  <c r="F70" i="9"/>
  <c r="G69" i="9" s="1"/>
  <c r="F71" i="9"/>
  <c r="F72" i="9"/>
  <c r="F50" i="9"/>
  <c r="F51" i="9"/>
  <c r="F52" i="9"/>
  <c r="F53" i="9"/>
  <c r="F54" i="9"/>
  <c r="D40" i="12"/>
  <c r="F40" i="12" s="1"/>
  <c r="D41" i="12"/>
  <c r="F41" i="12" s="1"/>
  <c r="D42" i="12"/>
  <c r="F42" i="12" s="1"/>
  <c r="F33" i="12"/>
  <c r="F34" i="12"/>
  <c r="F35" i="12"/>
  <c r="F36" i="12"/>
  <c r="F37" i="12"/>
  <c r="F38" i="12"/>
  <c r="F22" i="12"/>
  <c r="F23" i="12"/>
  <c r="F24" i="12"/>
  <c r="F25" i="12"/>
  <c r="F8" i="12"/>
  <c r="F9" i="12"/>
  <c r="D27" i="31"/>
  <c r="F27" i="31" s="1"/>
  <c r="D28" i="31"/>
  <c r="F28" i="31" s="1"/>
  <c r="D29" i="31"/>
  <c r="F29" i="31" s="1"/>
  <c r="F30" i="31"/>
  <c r="D15" i="31"/>
  <c r="F15" i="31" s="1"/>
  <c r="D16" i="31"/>
  <c r="F16" i="31" s="1"/>
  <c r="D17" i="31"/>
  <c r="F17" i="31" s="1"/>
  <c r="D19" i="31"/>
  <c r="F19" i="31" s="1"/>
  <c r="F4" i="31"/>
  <c r="F5" i="31"/>
  <c r="F6" i="31"/>
  <c r="D33" i="31"/>
  <c r="F33" i="31" s="1"/>
  <c r="D34" i="31"/>
  <c r="F34" i="31" s="1"/>
  <c r="D35" i="31"/>
  <c r="F35" i="31" s="1"/>
  <c r="F31" i="8"/>
  <c r="F32" i="8"/>
  <c r="F33" i="8"/>
  <c r="F34" i="8"/>
  <c r="D49" i="8"/>
  <c r="F49" i="8" s="1"/>
  <c r="D50" i="8"/>
  <c r="F50" i="8" s="1"/>
  <c r="D51" i="8"/>
  <c r="F51" i="8" s="1"/>
  <c r="F52" i="8"/>
  <c r="F53" i="8"/>
  <c r="B54" i="25"/>
  <c r="A54" i="25"/>
  <c r="C54" i="25"/>
  <c r="C31" i="25"/>
  <c r="C30" i="25"/>
  <c r="C29" i="25"/>
  <c r="C28" i="25"/>
  <c r="C27" i="25"/>
  <c r="C25" i="25"/>
  <c r="C24" i="25"/>
  <c r="C23" i="25"/>
  <c r="C22" i="25"/>
  <c r="C21" i="25"/>
  <c r="C20" i="25"/>
  <c r="C19" i="25"/>
  <c r="C34" i="25"/>
  <c r="C33" i="25"/>
  <c r="D184" i="23"/>
  <c r="G184" i="23" s="1"/>
  <c r="D185" i="23"/>
  <c r="G185" i="23" s="1"/>
  <c r="C185" i="23"/>
  <c r="B185" i="23"/>
  <c r="A185" i="23"/>
  <c r="C184" i="23"/>
  <c r="A184" i="23"/>
  <c r="B184" i="23"/>
  <c r="C3" i="23"/>
  <c r="C51" i="23"/>
  <c r="C50" i="23"/>
  <c r="C49" i="23"/>
  <c r="C48" i="23"/>
  <c r="C47" i="23"/>
  <c r="C31" i="23"/>
  <c r="C30" i="23"/>
  <c r="C29" i="23"/>
  <c r="C28" i="23"/>
  <c r="C27" i="23"/>
  <c r="B10" i="23"/>
  <c r="A10" i="23"/>
  <c r="C17" i="23"/>
  <c r="C16" i="23"/>
  <c r="C15" i="23"/>
  <c r="C14" i="23"/>
  <c r="C13" i="23"/>
  <c r="C12" i="23"/>
  <c r="C11" i="23"/>
  <c r="C10" i="23"/>
  <c r="C24" i="23"/>
  <c r="C23" i="23"/>
  <c r="C22" i="23"/>
  <c r="C21" i="23"/>
  <c r="C20" i="23"/>
  <c r="C19" i="23"/>
  <c r="A3" i="23"/>
  <c r="B3" i="23"/>
  <c r="C16" i="22"/>
  <c r="C15" i="22"/>
  <c r="C14" i="22"/>
  <c r="C13" i="22"/>
  <c r="C12" i="22"/>
  <c r="D85" i="22"/>
  <c r="G85" i="22" s="1"/>
  <c r="D86" i="22"/>
  <c r="G86" i="22" s="1"/>
  <c r="G87" i="22"/>
  <c r="C86" i="22"/>
  <c r="B86" i="22"/>
  <c r="A86" i="22"/>
  <c r="B85" i="22"/>
  <c r="A85" i="22"/>
  <c r="C85" i="22"/>
  <c r="D166" i="21"/>
  <c r="G166" i="21" s="1"/>
  <c r="D167" i="21"/>
  <c r="G167" i="21" s="1"/>
  <c r="A167" i="21"/>
  <c r="A166" i="21"/>
  <c r="C167" i="21"/>
  <c r="C166" i="21"/>
  <c r="B167" i="21"/>
  <c r="B166" i="21"/>
  <c r="C3" i="21"/>
  <c r="A3" i="21"/>
  <c r="B3" i="21"/>
  <c r="C3" i="20"/>
  <c r="A3" i="20"/>
  <c r="B3" i="20"/>
  <c r="D142" i="19"/>
  <c r="G142" i="19" s="1"/>
  <c r="D145" i="19"/>
  <c r="F145" i="19" s="1"/>
  <c r="D146" i="19"/>
  <c r="F146" i="19" s="1"/>
  <c r="D147" i="19"/>
  <c r="F147" i="19" s="1"/>
  <c r="D148" i="19"/>
  <c r="F148" i="19" s="1"/>
  <c r="D160" i="19"/>
  <c r="F160" i="19" s="1"/>
  <c r="D161" i="19"/>
  <c r="F161" i="19" s="1"/>
  <c r="D162" i="19"/>
  <c r="F162" i="19" s="1"/>
  <c r="D178" i="20"/>
  <c r="G178" i="20" s="1"/>
  <c r="G198" i="20" s="1"/>
  <c r="G199" i="18"/>
  <c r="D189" i="18"/>
  <c r="G189" i="18" s="1"/>
  <c r="D190" i="18"/>
  <c r="A178" i="20"/>
  <c r="B178" i="20"/>
  <c r="C178" i="20"/>
  <c r="C31" i="20"/>
  <c r="C30" i="20"/>
  <c r="D29" i="20"/>
  <c r="C29" i="20"/>
  <c r="D28" i="20"/>
  <c r="C28" i="20"/>
  <c r="D27" i="20"/>
  <c r="C27" i="20"/>
  <c r="C23" i="20"/>
  <c r="C22" i="20"/>
  <c r="C21" i="20"/>
  <c r="C20" i="20"/>
  <c r="C19" i="20"/>
  <c r="D163" i="19"/>
  <c r="G163" i="19" s="1"/>
  <c r="A163" i="19"/>
  <c r="B163" i="19"/>
  <c r="C163" i="19"/>
  <c r="A159" i="19"/>
  <c r="B159" i="19"/>
  <c r="C162" i="19"/>
  <c r="C161" i="19"/>
  <c r="C160" i="19"/>
  <c r="A142" i="19"/>
  <c r="B142" i="19"/>
  <c r="C142" i="19"/>
  <c r="C10" i="18"/>
  <c r="C9" i="18"/>
  <c r="C8" i="18"/>
  <c r="C7" i="18"/>
  <c r="C6" i="18"/>
  <c r="C5" i="18"/>
  <c r="C42" i="18"/>
  <c r="C41" i="18"/>
  <c r="C40" i="18"/>
  <c r="C39" i="18"/>
  <c r="C38" i="18"/>
  <c r="C11" i="19"/>
  <c r="C16" i="19"/>
  <c r="C15" i="19"/>
  <c r="C14" i="19"/>
  <c r="C13" i="19"/>
  <c r="C12" i="19"/>
  <c r="C190" i="18"/>
  <c r="B190" i="18"/>
  <c r="A190" i="18"/>
  <c r="C189" i="18"/>
  <c r="A189" i="18"/>
  <c r="B189" i="18"/>
  <c r="A211" i="11"/>
  <c r="B211" i="11"/>
  <c r="C214" i="11"/>
  <c r="C213" i="11"/>
  <c r="C212" i="11"/>
  <c r="C211" i="11"/>
  <c r="A206" i="11"/>
  <c r="A203" i="11"/>
  <c r="A197" i="11"/>
  <c r="B206" i="11"/>
  <c r="B203" i="11"/>
  <c r="B197" i="11"/>
  <c r="C210" i="11"/>
  <c r="C209" i="11"/>
  <c r="C208" i="11"/>
  <c r="C207" i="11"/>
  <c r="C206" i="11"/>
  <c r="C205" i="11"/>
  <c r="C204" i="11"/>
  <c r="C203" i="11"/>
  <c r="C202" i="11"/>
  <c r="C200" i="11"/>
  <c r="C199" i="11"/>
  <c r="C198" i="11"/>
  <c r="C197" i="11"/>
  <c r="D107" i="17"/>
  <c r="F107" i="17" s="1"/>
  <c r="D108" i="17"/>
  <c r="F108" i="17" s="1"/>
  <c r="D109" i="17"/>
  <c r="F109" i="17" s="1"/>
  <c r="D110" i="17"/>
  <c r="F110" i="17" s="1"/>
  <c r="D112" i="17"/>
  <c r="F112" i="17" s="1"/>
  <c r="D113" i="17"/>
  <c r="F113" i="17" s="1"/>
  <c r="D114" i="17"/>
  <c r="F114" i="17" s="1"/>
  <c r="D115" i="17"/>
  <c r="F115" i="17" s="1"/>
  <c r="D117" i="17"/>
  <c r="F117" i="17" s="1"/>
  <c r="D142" i="16"/>
  <c r="D125" i="17" s="1"/>
  <c r="D119" i="17"/>
  <c r="F119" i="17" s="1"/>
  <c r="D120" i="17"/>
  <c r="F120" i="17" s="1"/>
  <c r="D121" i="17"/>
  <c r="F121" i="17" s="1"/>
  <c r="D122" i="17"/>
  <c r="F122" i="17" s="1"/>
  <c r="D123" i="17"/>
  <c r="F123" i="17" s="1"/>
  <c r="D124" i="17"/>
  <c r="F124" i="17" s="1"/>
  <c r="A118" i="17"/>
  <c r="B118" i="17"/>
  <c r="C124" i="17"/>
  <c r="C123" i="17"/>
  <c r="C122" i="17"/>
  <c r="C121" i="17"/>
  <c r="C120" i="17"/>
  <c r="C119" i="17"/>
  <c r="C118" i="17"/>
  <c r="A125" i="17"/>
  <c r="B125" i="17"/>
  <c r="C125" i="17"/>
  <c r="D124" i="16"/>
  <c r="F124" i="16" s="1"/>
  <c r="D125" i="16"/>
  <c r="F125" i="16" s="1"/>
  <c r="D126" i="16"/>
  <c r="F126" i="16" s="1"/>
  <c r="D127" i="16"/>
  <c r="F127" i="16" s="1"/>
  <c r="D129" i="16"/>
  <c r="F129" i="16" s="1"/>
  <c r="D130" i="16"/>
  <c r="F130" i="16" s="1"/>
  <c r="D131" i="16"/>
  <c r="F131" i="16" s="1"/>
  <c r="D132" i="16"/>
  <c r="F132" i="16" s="1"/>
  <c r="D134" i="16"/>
  <c r="F134" i="16" s="1"/>
  <c r="D136" i="16"/>
  <c r="F136" i="16" s="1"/>
  <c r="D137" i="16"/>
  <c r="F137" i="16" s="1"/>
  <c r="D138" i="16"/>
  <c r="F138" i="16" s="1"/>
  <c r="D139" i="16"/>
  <c r="F139" i="16" s="1"/>
  <c r="D140" i="16"/>
  <c r="F140" i="16" s="1"/>
  <c r="D141" i="16"/>
  <c r="F141" i="16" s="1"/>
  <c r="A142" i="16"/>
  <c r="B142" i="16"/>
  <c r="C142" i="16"/>
  <c r="A135" i="16"/>
  <c r="B135" i="16"/>
  <c r="C141" i="16"/>
  <c r="C140" i="16"/>
  <c r="C139" i="16"/>
  <c r="C138" i="16"/>
  <c r="C137" i="16"/>
  <c r="C136" i="16"/>
  <c r="C135" i="16"/>
  <c r="A142" i="10"/>
  <c r="B142" i="10"/>
  <c r="C146" i="10"/>
  <c r="C145" i="10"/>
  <c r="C144" i="10"/>
  <c r="C143" i="10"/>
  <c r="C142" i="10"/>
  <c r="D134" i="9"/>
  <c r="F134" i="9" s="1"/>
  <c r="D135" i="9"/>
  <c r="F135" i="9" s="1"/>
  <c r="D136" i="9"/>
  <c r="F136" i="9" s="1"/>
  <c r="D138" i="9"/>
  <c r="F138" i="9" s="1"/>
  <c r="A136" i="10"/>
  <c r="B136" i="10"/>
  <c r="C141" i="10"/>
  <c r="C139" i="10"/>
  <c r="C138" i="10"/>
  <c r="C137" i="10"/>
  <c r="C136" i="10"/>
  <c r="C134" i="10"/>
  <c r="D140" i="9"/>
  <c r="F140" i="9" s="1"/>
  <c r="D141" i="9"/>
  <c r="F141" i="9" s="1"/>
  <c r="D142" i="9"/>
  <c r="F142" i="9" s="1"/>
  <c r="D143" i="9"/>
  <c r="F143" i="9" s="1"/>
  <c r="D144" i="9"/>
  <c r="G144" i="9" s="1"/>
  <c r="A139" i="9"/>
  <c r="A133" i="9"/>
  <c r="B139" i="9"/>
  <c r="C143" i="9"/>
  <c r="C142" i="9"/>
  <c r="C141" i="9"/>
  <c r="C140" i="9"/>
  <c r="C139" i="9"/>
  <c r="C138" i="9"/>
  <c r="C136" i="9"/>
  <c r="C135" i="9"/>
  <c r="C134" i="9"/>
  <c r="B133" i="9"/>
  <c r="C133" i="9"/>
  <c r="F81" i="8"/>
  <c r="F82" i="8"/>
  <c r="F83" i="8"/>
  <c r="F86" i="8"/>
  <c r="F87" i="8"/>
  <c r="F9" i="8"/>
  <c r="G8" i="8" s="1"/>
  <c r="A58" i="24"/>
  <c r="A54" i="24"/>
  <c r="B58" i="24"/>
  <c r="B54" i="24"/>
  <c r="C62" i="24"/>
  <c r="C60" i="24"/>
  <c r="C59" i="24"/>
  <c r="C58" i="24"/>
  <c r="C57" i="24"/>
  <c r="C56" i="24"/>
  <c r="C55" i="24"/>
  <c r="C54" i="24"/>
  <c r="A70" i="24"/>
  <c r="B70" i="24"/>
  <c r="C74" i="24"/>
  <c r="C73" i="24"/>
  <c r="C71" i="24"/>
  <c r="C70" i="24"/>
  <c r="C69" i="24"/>
  <c r="C68" i="24"/>
  <c r="C67" i="24"/>
  <c r="C66" i="24"/>
  <c r="C65" i="24"/>
  <c r="C64" i="24"/>
  <c r="A63" i="24"/>
  <c r="B63" i="24"/>
  <c r="C63" i="24"/>
  <c r="A46" i="24"/>
  <c r="A40" i="24"/>
  <c r="B46" i="24"/>
  <c r="B40" i="24"/>
  <c r="C48" i="24"/>
  <c r="C47" i="24"/>
  <c r="C46" i="24"/>
  <c r="C45" i="24"/>
  <c r="C43" i="24"/>
  <c r="C42" i="24"/>
  <c r="C41" i="24"/>
  <c r="C40" i="24"/>
  <c r="C179" i="25"/>
  <c r="C178" i="25"/>
  <c r="C177" i="25"/>
  <c r="C176" i="25"/>
  <c r="C175" i="25"/>
  <c r="A175" i="25"/>
  <c r="B175" i="25"/>
  <c r="C186" i="25"/>
  <c r="C185" i="25"/>
  <c r="C184" i="25"/>
  <c r="C183" i="25"/>
  <c r="C182" i="25"/>
  <c r="C181" i="25"/>
  <c r="C180" i="25"/>
  <c r="A180" i="25"/>
  <c r="B180" i="25"/>
  <c r="A169" i="25"/>
  <c r="B169" i="25"/>
  <c r="C174" i="25"/>
  <c r="C172" i="25"/>
  <c r="C171" i="25"/>
  <c r="C170" i="25"/>
  <c r="C169" i="25"/>
  <c r="A157" i="23"/>
  <c r="B157" i="23"/>
  <c r="C159" i="23"/>
  <c r="C158" i="23"/>
  <c r="C157" i="23"/>
  <c r="C156" i="23"/>
  <c r="C154" i="23"/>
  <c r="C153" i="23"/>
  <c r="C152" i="23"/>
  <c r="A151" i="23"/>
  <c r="B151" i="23"/>
  <c r="C151" i="23"/>
  <c r="A172" i="23"/>
  <c r="A165" i="23"/>
  <c r="B172" i="23"/>
  <c r="B165" i="23"/>
  <c r="A186" i="18"/>
  <c r="B186" i="18"/>
  <c r="C186" i="18"/>
  <c r="A140" i="19"/>
  <c r="B140" i="19"/>
  <c r="C140" i="19"/>
  <c r="C176" i="20"/>
  <c r="A176" i="20"/>
  <c r="B176" i="20"/>
  <c r="A177" i="23"/>
  <c r="B177" i="23"/>
  <c r="C177" i="23"/>
  <c r="C176" i="23"/>
  <c r="C175" i="23"/>
  <c r="C173" i="23"/>
  <c r="C172" i="23"/>
  <c r="C171" i="23"/>
  <c r="C170" i="23"/>
  <c r="C169" i="23"/>
  <c r="C168" i="23"/>
  <c r="C167" i="23"/>
  <c r="C166" i="23"/>
  <c r="C165" i="23"/>
  <c r="A149" i="21"/>
  <c r="C151" i="21"/>
  <c r="C150" i="21"/>
  <c r="C149" i="21"/>
  <c r="A153" i="21"/>
  <c r="B153" i="21"/>
  <c r="C164" i="21"/>
  <c r="C163" i="21"/>
  <c r="C161" i="21"/>
  <c r="C160" i="21"/>
  <c r="C159" i="21"/>
  <c r="C158" i="21"/>
  <c r="C157" i="21"/>
  <c r="C156" i="21"/>
  <c r="C155" i="21"/>
  <c r="C154" i="21"/>
  <c r="A160" i="21"/>
  <c r="B160" i="21"/>
  <c r="C153" i="21"/>
  <c r="B149" i="21"/>
  <c r="A161" i="20"/>
  <c r="B161" i="20"/>
  <c r="A155" i="20"/>
  <c r="B155" i="20"/>
  <c r="C163" i="20"/>
  <c r="C162" i="20"/>
  <c r="C161" i="20"/>
  <c r="C160" i="20"/>
  <c r="C158" i="20"/>
  <c r="C157" i="20"/>
  <c r="C156" i="20"/>
  <c r="C155" i="20"/>
  <c r="A164" i="20"/>
  <c r="B164" i="20"/>
  <c r="C175" i="20"/>
  <c r="C174" i="20"/>
  <c r="C172" i="20"/>
  <c r="C171" i="20"/>
  <c r="C170" i="20"/>
  <c r="C169" i="20"/>
  <c r="C168" i="20"/>
  <c r="C167" i="20"/>
  <c r="C166" i="20"/>
  <c r="C165" i="20"/>
  <c r="A171" i="20"/>
  <c r="B171" i="20"/>
  <c r="C164" i="20"/>
  <c r="C139" i="19"/>
  <c r="C138" i="19"/>
  <c r="C136" i="19"/>
  <c r="C135" i="19"/>
  <c r="C134" i="19"/>
  <c r="C133" i="19"/>
  <c r="C132" i="19"/>
  <c r="C131" i="19"/>
  <c r="C130" i="19"/>
  <c r="C129" i="19"/>
  <c r="A135" i="19"/>
  <c r="B135" i="19"/>
  <c r="A128" i="19"/>
  <c r="B128" i="19"/>
  <c r="C128" i="19"/>
  <c r="B181" i="18"/>
  <c r="C185" i="18"/>
  <c r="C184" i="18"/>
  <c r="C182" i="18"/>
  <c r="C181" i="18"/>
  <c r="A174" i="18"/>
  <c r="C180" i="18"/>
  <c r="C179" i="18"/>
  <c r="C178" i="18"/>
  <c r="C177" i="18"/>
  <c r="C176" i="18"/>
  <c r="C175" i="18"/>
  <c r="C174" i="18"/>
  <c r="B174" i="18"/>
  <c r="C173" i="18"/>
  <c r="C172" i="18"/>
  <c r="C171" i="18"/>
  <c r="C170" i="18"/>
  <c r="C168" i="18"/>
  <c r="C167" i="18"/>
  <c r="C166" i="18"/>
  <c r="A171" i="18"/>
  <c r="B171" i="18"/>
  <c r="A165" i="18"/>
  <c r="B165" i="18"/>
  <c r="C165" i="18"/>
  <c r="A134" i="15"/>
  <c r="B134" i="15"/>
  <c r="C136" i="15"/>
  <c r="C135" i="15"/>
  <c r="C134" i="15"/>
  <c r="C133" i="15"/>
  <c r="C131" i="15"/>
  <c r="C130" i="15"/>
  <c r="C129" i="15"/>
  <c r="A128" i="15"/>
  <c r="B128" i="15"/>
  <c r="C128" i="15"/>
  <c r="A96" i="17"/>
  <c r="B96" i="17"/>
  <c r="C101" i="17"/>
  <c r="C99" i="17"/>
  <c r="C98" i="17"/>
  <c r="C97" i="17"/>
  <c r="C96" i="17"/>
  <c r="A115" i="16"/>
  <c r="B115" i="16"/>
  <c r="C117" i="16"/>
  <c r="C116" i="16"/>
  <c r="C115" i="16"/>
  <c r="C114" i="16"/>
  <c r="C112" i="16"/>
  <c r="C111" i="16"/>
  <c r="C110" i="16"/>
  <c r="A109" i="16"/>
  <c r="B109" i="16"/>
  <c r="C109" i="16"/>
  <c r="C145" i="11"/>
  <c r="C144" i="11"/>
  <c r="C143" i="11"/>
  <c r="C142" i="11"/>
  <c r="C141" i="11"/>
  <c r="C140" i="11"/>
  <c r="F80" i="20"/>
  <c r="F79" i="20"/>
  <c r="F76" i="19"/>
  <c r="F65" i="15"/>
  <c r="F37" i="17"/>
  <c r="F39" i="13"/>
  <c r="D28" i="26"/>
  <c r="G28" i="26" s="1"/>
  <c r="F24" i="16"/>
  <c r="F69" i="13"/>
  <c r="F70" i="13"/>
  <c r="F71" i="13"/>
  <c r="F72" i="13"/>
  <c r="F73" i="13"/>
  <c r="F74" i="13"/>
  <c r="F38" i="9"/>
  <c r="F39" i="9"/>
  <c r="F40" i="9"/>
  <c r="F41" i="9"/>
  <c r="F42" i="9"/>
  <c r="C108" i="14"/>
  <c r="C107" i="14"/>
  <c r="C106" i="14"/>
  <c r="C105" i="14"/>
  <c r="C104" i="14"/>
  <c r="C103" i="14"/>
  <c r="C102" i="14"/>
  <c r="B102" i="14"/>
  <c r="A102" i="14"/>
  <c r="D107" i="13"/>
  <c r="D106" i="13"/>
  <c r="F106" i="13" s="1"/>
  <c r="D105" i="13"/>
  <c r="F105" i="13" s="1"/>
  <c r="D104" i="13"/>
  <c r="F104" i="13" s="1"/>
  <c r="D103" i="13"/>
  <c r="F103" i="13" s="1"/>
  <c r="C107" i="13"/>
  <c r="C106" i="13"/>
  <c r="C105" i="13"/>
  <c r="C104" i="13"/>
  <c r="C103" i="13"/>
  <c r="C102" i="13"/>
  <c r="C101" i="13"/>
  <c r="B101" i="13"/>
  <c r="A101" i="13"/>
  <c r="C139" i="11"/>
  <c r="B139" i="11"/>
  <c r="A139" i="11"/>
  <c r="C36" i="27"/>
  <c r="C35" i="27"/>
  <c r="C34" i="27"/>
  <c r="A33" i="27"/>
  <c r="B33" i="27"/>
  <c r="C33" i="27"/>
  <c r="A41" i="27"/>
  <c r="A48" i="27"/>
  <c r="A54" i="27"/>
  <c r="A53" i="27"/>
  <c r="B54" i="27"/>
  <c r="B53" i="27"/>
  <c r="B48" i="27"/>
  <c r="B41" i="27"/>
  <c r="C52" i="27"/>
  <c r="C51" i="27"/>
  <c r="C47" i="27"/>
  <c r="C46" i="27"/>
  <c r="C45" i="27"/>
  <c r="C44" i="27"/>
  <c r="C43" i="27"/>
  <c r="C54" i="27"/>
  <c r="C53" i="27"/>
  <c r="C49" i="27"/>
  <c r="C48" i="27"/>
  <c r="C42" i="27"/>
  <c r="C41" i="27"/>
  <c r="A37" i="27"/>
  <c r="B37" i="27"/>
  <c r="C39" i="27"/>
  <c r="C38" i="27"/>
  <c r="C37" i="27"/>
  <c r="F58" i="17"/>
  <c r="F69" i="14"/>
  <c r="F72" i="14"/>
  <c r="F71" i="14"/>
  <c r="F70" i="14"/>
  <c r="F79" i="13"/>
  <c r="F81" i="13"/>
  <c r="F80" i="13"/>
  <c r="F78" i="13"/>
  <c r="F60" i="9"/>
  <c r="F62" i="9"/>
  <c r="F61" i="9"/>
  <c r="F59" i="9"/>
  <c r="F58" i="9"/>
  <c r="B7" i="31"/>
  <c r="C23" i="14"/>
  <c r="C22" i="14"/>
  <c r="C21" i="14"/>
  <c r="C20" i="14"/>
  <c r="F39" i="24"/>
  <c r="F38" i="24"/>
  <c r="F37" i="24"/>
  <c r="D114" i="21"/>
  <c r="F114" i="21" s="1"/>
  <c r="D113" i="21"/>
  <c r="F113" i="21" s="1"/>
  <c r="D34" i="21"/>
  <c r="F34" i="21" s="1"/>
  <c r="D33" i="21"/>
  <c r="F33" i="21" s="1"/>
  <c r="D141" i="20"/>
  <c r="G141" i="20" s="1"/>
  <c r="F40" i="20"/>
  <c r="F39" i="20"/>
  <c r="F38" i="20"/>
  <c r="F41" i="19"/>
  <c r="F40" i="19"/>
  <c r="F39" i="19"/>
  <c r="D103" i="18"/>
  <c r="F103" i="18" s="1"/>
  <c r="D102" i="18"/>
  <c r="F102" i="18" s="1"/>
  <c r="D156" i="18"/>
  <c r="F156" i="18" s="1"/>
  <c r="D155" i="18"/>
  <c r="F155" i="18" s="1"/>
  <c r="F57" i="18"/>
  <c r="F56" i="18"/>
  <c r="D27" i="18"/>
  <c r="F27" i="18" s="1"/>
  <c r="D26" i="18"/>
  <c r="F26" i="18" s="1"/>
  <c r="D112" i="15"/>
  <c r="F112" i="15" s="1"/>
  <c r="D111" i="15"/>
  <c r="F111" i="15" s="1"/>
  <c r="F72" i="17"/>
  <c r="F71" i="17"/>
  <c r="D70" i="17"/>
  <c r="F70" i="17" s="1"/>
  <c r="D69" i="17"/>
  <c r="F69" i="17" s="1"/>
  <c r="D68" i="17"/>
  <c r="F68" i="17" s="1"/>
  <c r="D66" i="17"/>
  <c r="F66" i="17" s="1"/>
  <c r="D65" i="17"/>
  <c r="F65" i="17" s="1"/>
  <c r="F64" i="17"/>
  <c r="D84" i="16"/>
  <c r="F84" i="16" s="1"/>
  <c r="D83" i="16"/>
  <c r="F83" i="16" s="1"/>
  <c r="F82" i="16"/>
  <c r="F68" i="14"/>
  <c r="F67" i="14"/>
  <c r="G66" i="14" s="1"/>
  <c r="F77" i="13"/>
  <c r="F76" i="13"/>
  <c r="D54" i="11"/>
  <c r="F54" i="11" s="1"/>
  <c r="D53" i="11"/>
  <c r="F53" i="11" s="1"/>
  <c r="F80" i="10"/>
  <c r="D79" i="10"/>
  <c r="F79" i="10" s="1"/>
  <c r="D78" i="10"/>
  <c r="F78" i="10" s="1"/>
  <c r="D77" i="10"/>
  <c r="F77" i="10" s="1"/>
  <c r="F70" i="10"/>
  <c r="F69" i="10"/>
  <c r="F67" i="10"/>
  <c r="F66" i="10"/>
  <c r="G64" i="10" s="1"/>
  <c r="F82" i="9"/>
  <c r="F81" i="9"/>
  <c r="F80" i="9"/>
  <c r="F57" i="9"/>
  <c r="G56" i="9" s="1"/>
  <c r="F68" i="9"/>
  <c r="F67" i="9"/>
  <c r="F66" i="9"/>
  <c r="F64" i="9"/>
  <c r="G63" i="9" s="1"/>
  <c r="F52" i="12"/>
  <c r="F51" i="12"/>
  <c r="F50" i="12"/>
  <c r="D23" i="8"/>
  <c r="F23" i="8" s="1"/>
  <c r="F22" i="8"/>
  <c r="D21" i="8"/>
  <c r="F21" i="8" s="1"/>
  <c r="F56" i="8"/>
  <c r="B82" i="21"/>
  <c r="A3" i="24"/>
  <c r="C114" i="21"/>
  <c r="C113" i="21"/>
  <c r="C112" i="21"/>
  <c r="C103" i="18"/>
  <c r="C102" i="18"/>
  <c r="C101" i="18"/>
  <c r="C54" i="11"/>
  <c r="C53" i="11"/>
  <c r="B96" i="9"/>
  <c r="B79" i="24"/>
  <c r="A79" i="24"/>
  <c r="B76" i="24"/>
  <c r="A76" i="24"/>
  <c r="B17" i="24"/>
  <c r="A17" i="24"/>
  <c r="C15" i="24"/>
  <c r="C13" i="24"/>
  <c r="C12" i="24"/>
  <c r="C11" i="24"/>
  <c r="C10" i="24"/>
  <c r="C9" i="24"/>
  <c r="B9" i="24"/>
  <c r="A9" i="24"/>
  <c r="C16" i="24"/>
  <c r="B16" i="24"/>
  <c r="A16" i="24"/>
  <c r="C8" i="24"/>
  <c r="C7" i="24"/>
  <c r="C107" i="25"/>
  <c r="C103" i="25"/>
  <c r="C102" i="25"/>
  <c r="C101" i="25"/>
  <c r="C100" i="25"/>
  <c r="B100" i="25"/>
  <c r="A100" i="25"/>
  <c r="C87" i="25"/>
  <c r="B87" i="25"/>
  <c r="A87" i="25"/>
  <c r="C86" i="25"/>
  <c r="C85" i="25"/>
  <c r="C84" i="25"/>
  <c r="B84" i="25"/>
  <c r="A84" i="25"/>
  <c r="C83" i="25"/>
  <c r="C82" i="25"/>
  <c r="C81" i="25"/>
  <c r="C80" i="25"/>
  <c r="C79" i="25"/>
  <c r="C77" i="25"/>
  <c r="C76" i="25"/>
  <c r="C75" i="25"/>
  <c r="B75" i="25"/>
  <c r="A75" i="25"/>
  <c r="C149" i="25"/>
  <c r="C148" i="25"/>
  <c r="C147" i="25"/>
  <c r="C146" i="25"/>
  <c r="B146" i="25"/>
  <c r="A146" i="25"/>
  <c r="C168" i="25"/>
  <c r="C167" i="25"/>
  <c r="C166" i="25"/>
  <c r="C165" i="25"/>
  <c r="B165" i="25"/>
  <c r="A165" i="25"/>
  <c r="C49" i="25"/>
  <c r="C14" i="26"/>
  <c r="C12" i="26"/>
  <c r="C11" i="26"/>
  <c r="C10" i="26"/>
  <c r="C9" i="26"/>
  <c r="B9" i="26"/>
  <c r="A9" i="26"/>
  <c r="C28" i="26"/>
  <c r="B28" i="26"/>
  <c r="A28" i="26"/>
  <c r="C15" i="27"/>
  <c r="C13" i="27"/>
  <c r="C12" i="27"/>
  <c r="C11" i="27"/>
  <c r="C10" i="27"/>
  <c r="C9" i="27"/>
  <c r="B9" i="27"/>
  <c r="A9" i="27"/>
  <c r="C8" i="27"/>
  <c r="C7" i="27"/>
  <c r="C182" i="23"/>
  <c r="B182" i="23"/>
  <c r="A182" i="23"/>
  <c r="C79" i="23"/>
  <c r="C59" i="23"/>
  <c r="C58" i="23"/>
  <c r="C57" i="23"/>
  <c r="B57" i="23"/>
  <c r="A57" i="23"/>
  <c r="C150" i="23"/>
  <c r="C149" i="23"/>
  <c r="C148" i="23"/>
  <c r="C147" i="23"/>
  <c r="B147" i="23"/>
  <c r="A147" i="23"/>
  <c r="C146" i="23"/>
  <c r="C145" i="23"/>
  <c r="C144" i="23"/>
  <c r="C143" i="23"/>
  <c r="B143" i="23"/>
  <c r="A143" i="23"/>
  <c r="C44" i="23"/>
  <c r="C42" i="23"/>
  <c r="C41" i="23"/>
  <c r="C40" i="23"/>
  <c r="C39" i="23"/>
  <c r="C38" i="23"/>
  <c r="B38" i="23"/>
  <c r="A38" i="23"/>
  <c r="C37" i="23"/>
  <c r="C36" i="23"/>
  <c r="C56" i="22"/>
  <c r="C46" i="22"/>
  <c r="C45" i="22"/>
  <c r="C44" i="22"/>
  <c r="C43" i="22"/>
  <c r="B43" i="22"/>
  <c r="A43" i="22"/>
  <c r="C42" i="22"/>
  <c r="C41" i="22"/>
  <c r="C40" i="22"/>
  <c r="B40" i="22"/>
  <c r="A40" i="22"/>
  <c r="C39" i="22"/>
  <c r="C38" i="22"/>
  <c r="C37" i="22"/>
  <c r="C36" i="22"/>
  <c r="B36" i="22"/>
  <c r="A36" i="22"/>
  <c r="C35" i="22"/>
  <c r="C34" i="22"/>
  <c r="C33" i="22"/>
  <c r="C32" i="22"/>
  <c r="C31" i="22"/>
  <c r="C29" i="22"/>
  <c r="C28" i="22"/>
  <c r="C27" i="22"/>
  <c r="B27" i="22"/>
  <c r="A27" i="22"/>
  <c r="C105" i="21"/>
  <c r="C104" i="21"/>
  <c r="C103" i="21"/>
  <c r="C102" i="21"/>
  <c r="B102" i="21"/>
  <c r="A102" i="21"/>
  <c r="C88" i="21"/>
  <c r="C87" i="21"/>
  <c r="C85" i="21"/>
  <c r="C84" i="21"/>
  <c r="C82" i="21"/>
  <c r="A82" i="21"/>
  <c r="C72" i="21"/>
  <c r="C71" i="21"/>
  <c r="C70" i="21"/>
  <c r="B70" i="21"/>
  <c r="A70" i="21"/>
  <c r="C95" i="21"/>
  <c r="C94" i="21"/>
  <c r="C93" i="21"/>
  <c r="B93" i="21"/>
  <c r="A93" i="21"/>
  <c r="C92" i="21"/>
  <c r="C91" i="21"/>
  <c r="C90" i="21"/>
  <c r="C89" i="21"/>
  <c r="B89" i="21"/>
  <c r="A89" i="21"/>
  <c r="C81" i="21"/>
  <c r="C80" i="21"/>
  <c r="C79" i="21"/>
  <c r="C78" i="21"/>
  <c r="C77" i="21"/>
  <c r="C75" i="21"/>
  <c r="C74" i="21"/>
  <c r="C73" i="21"/>
  <c r="B73" i="21"/>
  <c r="A73" i="21"/>
  <c r="C142" i="21"/>
  <c r="C141" i="21"/>
  <c r="C140" i="21"/>
  <c r="C139" i="21"/>
  <c r="B139" i="21"/>
  <c r="A139" i="21"/>
  <c r="C58" i="21"/>
  <c r="C31" i="21"/>
  <c r="C47" i="21"/>
  <c r="C45" i="21"/>
  <c r="C44" i="21"/>
  <c r="C43" i="21"/>
  <c r="C42" i="21"/>
  <c r="C41" i="21"/>
  <c r="B41" i="21"/>
  <c r="A41" i="21"/>
  <c r="B48" i="21"/>
  <c r="A48" i="21"/>
  <c r="C40" i="21"/>
  <c r="C39" i="21"/>
  <c r="C63" i="20"/>
  <c r="B63" i="20"/>
  <c r="A63" i="20"/>
  <c r="C62" i="20"/>
  <c r="C61" i="20"/>
  <c r="C60" i="20"/>
  <c r="C59" i="20"/>
  <c r="B59" i="20"/>
  <c r="A59" i="20"/>
  <c r="C58" i="20"/>
  <c r="C57" i="20"/>
  <c r="C56" i="20"/>
  <c r="C55" i="20"/>
  <c r="C54" i="20"/>
  <c r="C52" i="20"/>
  <c r="C51" i="20"/>
  <c r="C50" i="20"/>
  <c r="B50" i="20"/>
  <c r="A50" i="20"/>
  <c r="C149" i="20"/>
  <c r="C148" i="20"/>
  <c r="C147" i="20"/>
  <c r="C146" i="20"/>
  <c r="B146" i="20"/>
  <c r="A146" i="20"/>
  <c r="C141" i="20"/>
  <c r="B141" i="20"/>
  <c r="A141" i="20"/>
  <c r="B32" i="20"/>
  <c r="A32" i="20"/>
  <c r="C16" i="20"/>
  <c r="C14" i="20"/>
  <c r="C13" i="20"/>
  <c r="C12" i="20"/>
  <c r="C11" i="20"/>
  <c r="C10" i="20"/>
  <c r="B10" i="20"/>
  <c r="A10" i="20"/>
  <c r="C148" i="19"/>
  <c r="C147" i="19"/>
  <c r="C60" i="19"/>
  <c r="B60" i="19"/>
  <c r="A60" i="19"/>
  <c r="C122" i="19"/>
  <c r="C121" i="19"/>
  <c r="C120" i="19"/>
  <c r="C119" i="19"/>
  <c r="B119" i="19"/>
  <c r="A119" i="19"/>
  <c r="C114" i="19"/>
  <c r="B114" i="19"/>
  <c r="A114" i="19"/>
  <c r="B32" i="19"/>
  <c r="A32" i="19"/>
  <c r="C94" i="18"/>
  <c r="C93" i="18"/>
  <c r="C92" i="18"/>
  <c r="C91" i="18"/>
  <c r="B91" i="18"/>
  <c r="A91" i="18"/>
  <c r="C90" i="18"/>
  <c r="C89" i="18"/>
  <c r="C88" i="18"/>
  <c r="B88" i="18"/>
  <c r="A88" i="18"/>
  <c r="C80" i="18"/>
  <c r="C79" i="18"/>
  <c r="C78" i="18"/>
  <c r="C77" i="18"/>
  <c r="C76" i="18"/>
  <c r="C74" i="18"/>
  <c r="C73" i="18"/>
  <c r="C72" i="18"/>
  <c r="B72" i="18"/>
  <c r="A72" i="18"/>
  <c r="C164" i="18"/>
  <c r="C163" i="18"/>
  <c r="C162" i="18"/>
  <c r="C161" i="18"/>
  <c r="B161" i="18"/>
  <c r="A161" i="18"/>
  <c r="C155" i="18"/>
  <c r="B44" i="18"/>
  <c r="A44" i="18"/>
  <c r="C24" i="18"/>
  <c r="C12" i="18"/>
  <c r="C34" i="18"/>
  <c r="C32" i="18"/>
  <c r="C31" i="18"/>
  <c r="C30" i="18"/>
  <c r="C29" i="18"/>
  <c r="C28" i="18"/>
  <c r="B28" i="18"/>
  <c r="A28" i="18"/>
  <c r="C35" i="18"/>
  <c r="B35" i="18"/>
  <c r="A35" i="18"/>
  <c r="C139" i="15"/>
  <c r="B139" i="15"/>
  <c r="A139" i="15"/>
  <c r="C138" i="15"/>
  <c r="C48" i="15"/>
  <c r="C47" i="15"/>
  <c r="C46" i="15"/>
  <c r="C45" i="15"/>
  <c r="B45" i="15"/>
  <c r="A45" i="15"/>
  <c r="C38" i="15"/>
  <c r="C37" i="15"/>
  <c r="C36" i="15"/>
  <c r="B36" i="15"/>
  <c r="A36" i="15"/>
  <c r="A124" i="15"/>
  <c r="C118" i="15"/>
  <c r="C117" i="15"/>
  <c r="C115" i="15"/>
  <c r="C111" i="15"/>
  <c r="C117" i="17"/>
  <c r="C115" i="17"/>
  <c r="C114" i="17"/>
  <c r="C113" i="17"/>
  <c r="C112" i="17"/>
  <c r="C111" i="17"/>
  <c r="B111" i="17"/>
  <c r="A111" i="17"/>
  <c r="C110" i="17"/>
  <c r="C109" i="17"/>
  <c r="C95" i="17"/>
  <c r="C94" i="17"/>
  <c r="C93" i="17"/>
  <c r="C92" i="17"/>
  <c r="B92" i="17"/>
  <c r="A92" i="17"/>
  <c r="C70" i="17"/>
  <c r="C69" i="17"/>
  <c r="C68" i="17"/>
  <c r="C67" i="17"/>
  <c r="B67" i="17"/>
  <c r="A67" i="17"/>
  <c r="C78" i="17"/>
  <c r="C77" i="17"/>
  <c r="C75" i="17"/>
  <c r="C91" i="17"/>
  <c r="C90" i="17"/>
  <c r="C89" i="17"/>
  <c r="C88" i="17"/>
  <c r="B88" i="17"/>
  <c r="A88" i="17"/>
  <c r="C65" i="17"/>
  <c r="B3" i="17"/>
  <c r="A3" i="17"/>
  <c r="C134" i="16"/>
  <c r="C132" i="16"/>
  <c r="C131" i="16"/>
  <c r="C130" i="16"/>
  <c r="C129" i="16"/>
  <c r="C128" i="16"/>
  <c r="B128" i="16"/>
  <c r="A128" i="16"/>
  <c r="C127" i="16"/>
  <c r="C126" i="16"/>
  <c r="B119" i="16"/>
  <c r="A119" i="16"/>
  <c r="C108" i="16"/>
  <c r="C107" i="16"/>
  <c r="C106" i="16"/>
  <c r="C105" i="16"/>
  <c r="B105" i="16"/>
  <c r="A105" i="16"/>
  <c r="C88" i="16"/>
  <c r="C87" i="16"/>
  <c r="C86" i="16"/>
  <c r="C85" i="16"/>
  <c r="B85" i="16"/>
  <c r="A85" i="16"/>
  <c r="C96" i="16"/>
  <c r="C95" i="16"/>
  <c r="C93" i="16"/>
  <c r="C104" i="16"/>
  <c r="C103" i="16"/>
  <c r="C102" i="16"/>
  <c r="C101" i="16"/>
  <c r="B101" i="16"/>
  <c r="A101" i="16"/>
  <c r="C83" i="16"/>
  <c r="B11" i="16"/>
  <c r="A11" i="16"/>
  <c r="C31" i="14"/>
  <c r="C27" i="14"/>
  <c r="C26" i="14"/>
  <c r="C25" i="14"/>
  <c r="C24" i="14"/>
  <c r="B24" i="14"/>
  <c r="A24" i="14"/>
  <c r="C96" i="14"/>
  <c r="C95" i="14"/>
  <c r="C94" i="14"/>
  <c r="C93" i="14"/>
  <c r="B93" i="14"/>
  <c r="A93" i="14"/>
  <c r="C80" i="14"/>
  <c r="C79" i="14"/>
  <c r="C78" i="14"/>
  <c r="C77" i="14"/>
  <c r="B77" i="14"/>
  <c r="A77" i="14"/>
  <c r="C92" i="14"/>
  <c r="C91" i="14"/>
  <c r="C89" i="14"/>
  <c r="A113" i="13"/>
  <c r="C29" i="13"/>
  <c r="C26" i="13"/>
  <c r="C24" i="13"/>
  <c r="C23" i="13"/>
  <c r="C22" i="13"/>
  <c r="C21" i="13"/>
  <c r="B21" i="13"/>
  <c r="A21" i="13"/>
  <c r="C20" i="13"/>
  <c r="C19" i="13"/>
  <c r="C18" i="13"/>
  <c r="C17" i="13"/>
  <c r="C16" i="13"/>
  <c r="C14" i="13"/>
  <c r="C13" i="13"/>
  <c r="C12" i="13"/>
  <c r="B12" i="13"/>
  <c r="A12" i="13"/>
  <c r="C95" i="13"/>
  <c r="C94" i="13"/>
  <c r="C93" i="13"/>
  <c r="C92" i="13"/>
  <c r="B92" i="13"/>
  <c r="A92" i="13"/>
  <c r="C85" i="13"/>
  <c r="C84" i="13"/>
  <c r="C83" i="13"/>
  <c r="C82" i="13"/>
  <c r="B82" i="13"/>
  <c r="A82" i="13"/>
  <c r="A215" i="11"/>
  <c r="C153" i="11"/>
  <c r="C152" i="11"/>
  <c r="B146" i="11"/>
  <c r="A146" i="11"/>
  <c r="C57" i="11"/>
  <c r="C45" i="11"/>
  <c r="C44" i="11"/>
  <c r="C43" i="11"/>
  <c r="C42" i="11"/>
  <c r="B42" i="11"/>
  <c r="A42" i="11"/>
  <c r="C133" i="11"/>
  <c r="C132" i="11"/>
  <c r="C131" i="11"/>
  <c r="C130" i="11"/>
  <c r="B130" i="11"/>
  <c r="A130" i="11"/>
  <c r="C113" i="11"/>
  <c r="C112" i="11"/>
  <c r="C111" i="11"/>
  <c r="C110" i="11"/>
  <c r="B110" i="11"/>
  <c r="A110" i="11"/>
  <c r="C125" i="11"/>
  <c r="C124" i="11"/>
  <c r="C122" i="11"/>
  <c r="C4" i="11"/>
  <c r="A147" i="10"/>
  <c r="C135" i="10"/>
  <c r="C133" i="10"/>
  <c r="C132" i="10"/>
  <c r="B132" i="10"/>
  <c r="A132" i="10"/>
  <c r="C27" i="10"/>
  <c r="C19" i="10"/>
  <c r="C18" i="10"/>
  <c r="C17" i="10"/>
  <c r="C16" i="10"/>
  <c r="B16" i="10"/>
  <c r="A16" i="10"/>
  <c r="C79" i="10"/>
  <c r="C78" i="10"/>
  <c r="C77" i="10"/>
  <c r="C76" i="10"/>
  <c r="B76" i="10"/>
  <c r="A76" i="10"/>
  <c r="C91" i="10"/>
  <c r="C90" i="10"/>
  <c r="C88" i="10"/>
  <c r="C75" i="10"/>
  <c r="B75" i="10"/>
  <c r="A75" i="10"/>
  <c r="C144" i="9"/>
  <c r="C19" i="9"/>
  <c r="C18" i="9"/>
  <c r="C17" i="9"/>
  <c r="C16" i="9"/>
  <c r="B16" i="9"/>
  <c r="A16" i="9"/>
  <c r="C76" i="9"/>
  <c r="C75" i="9"/>
  <c r="C74" i="9"/>
  <c r="C73" i="9"/>
  <c r="B73" i="9"/>
  <c r="A73" i="9"/>
  <c r="C88" i="9"/>
  <c r="C87" i="9"/>
  <c r="C85" i="9"/>
  <c r="C58" i="12"/>
  <c r="C57" i="12"/>
  <c r="C56" i="12"/>
  <c r="C55" i="12"/>
  <c r="B55" i="12"/>
  <c r="A55" i="12"/>
  <c r="C42" i="12"/>
  <c r="C41" i="12"/>
  <c r="C40" i="12"/>
  <c r="C39" i="12"/>
  <c r="B39" i="12"/>
  <c r="A39" i="12"/>
  <c r="C16" i="31"/>
  <c r="C35" i="31"/>
  <c r="C34" i="31"/>
  <c r="C33" i="31"/>
  <c r="C32" i="31"/>
  <c r="B32" i="31"/>
  <c r="A32" i="31"/>
  <c r="C29" i="31"/>
  <c r="C28" i="31"/>
  <c r="C27" i="31"/>
  <c r="C26" i="31"/>
  <c r="B26" i="31"/>
  <c r="A26" i="31"/>
  <c r="B74" i="8"/>
  <c r="A74" i="8"/>
  <c r="C26" i="8"/>
  <c r="C67" i="8"/>
  <c r="C66" i="8"/>
  <c r="C65" i="8"/>
  <c r="C64" i="8"/>
  <c r="B64" i="8"/>
  <c r="A64" i="8"/>
  <c r="C51" i="8"/>
  <c r="C50" i="8"/>
  <c r="C49" i="8"/>
  <c r="C48" i="8"/>
  <c r="B48" i="8"/>
  <c r="A48" i="8"/>
  <c r="C63" i="8"/>
  <c r="C62" i="8"/>
  <c r="C60" i="8"/>
  <c r="B3" i="24"/>
  <c r="C3" i="24"/>
  <c r="C5" i="24"/>
  <c r="C6" i="24"/>
  <c r="A75" i="24"/>
  <c r="B75" i="24"/>
  <c r="A77" i="24"/>
  <c r="B77" i="24"/>
  <c r="A10" i="25"/>
  <c r="B10" i="25"/>
  <c r="C10" i="25"/>
  <c r="C11" i="25"/>
  <c r="C12" i="25"/>
  <c r="C13" i="25"/>
  <c r="C16" i="25"/>
  <c r="C17" i="25"/>
  <c r="A32" i="25"/>
  <c r="B32" i="25"/>
  <c r="C32" i="25"/>
  <c r="A41" i="25"/>
  <c r="B41" i="25"/>
  <c r="C41" i="25"/>
  <c r="C42" i="25"/>
  <c r="A48" i="25"/>
  <c r="B48" i="25"/>
  <c r="C48" i="25"/>
  <c r="A67" i="25"/>
  <c r="B67" i="25"/>
  <c r="C67" i="25"/>
  <c r="C95" i="25"/>
  <c r="C96" i="25"/>
  <c r="C97" i="25"/>
  <c r="C98" i="25"/>
  <c r="C99" i="25"/>
  <c r="C104" i="25"/>
  <c r="A105" i="25"/>
  <c r="B105" i="25"/>
  <c r="C105" i="25"/>
  <c r="C106" i="25"/>
  <c r="C108" i="25"/>
  <c r="C110" i="25"/>
  <c r="C13" i="26"/>
  <c r="A15" i="26"/>
  <c r="B15" i="26"/>
  <c r="C15" i="26"/>
  <c r="C16" i="26"/>
  <c r="C18" i="26"/>
  <c r="A3" i="27"/>
  <c r="B3" i="27"/>
  <c r="C3" i="27"/>
  <c r="C5" i="27"/>
  <c r="C6" i="27"/>
  <c r="A16" i="27"/>
  <c r="B16" i="27"/>
  <c r="C16" i="27"/>
  <c r="C17" i="27"/>
  <c r="C19" i="27"/>
  <c r="A32" i="23"/>
  <c r="B32" i="23"/>
  <c r="C32" i="23"/>
  <c r="C34" i="23"/>
  <c r="C35" i="23"/>
  <c r="A45" i="23"/>
  <c r="B45" i="23"/>
  <c r="C45" i="23"/>
  <c r="C46" i="23"/>
  <c r="C68" i="23"/>
  <c r="C69" i="23"/>
  <c r="C70" i="23"/>
  <c r="C71" i="23"/>
  <c r="C72" i="23"/>
  <c r="A73" i="23"/>
  <c r="B73" i="23"/>
  <c r="C73" i="23"/>
  <c r="C74" i="23"/>
  <c r="C76" i="23"/>
  <c r="A77" i="23"/>
  <c r="B77" i="23"/>
  <c r="C77" i="23"/>
  <c r="C78" i="23"/>
  <c r="C80" i="23"/>
  <c r="C82" i="23"/>
  <c r="A179" i="23"/>
  <c r="B179" i="23"/>
  <c r="C179" i="23"/>
  <c r="B187" i="23"/>
  <c r="C47" i="22"/>
  <c r="A48" i="22"/>
  <c r="B48" i="22"/>
  <c r="C48" i="22"/>
  <c r="C49" i="22"/>
  <c r="C51" i="22"/>
  <c r="A52" i="22"/>
  <c r="B52" i="22"/>
  <c r="C52" i="22"/>
  <c r="C53" i="22"/>
  <c r="C54" i="22"/>
  <c r="C55" i="22"/>
  <c r="C57" i="22"/>
  <c r="A35" i="21"/>
  <c r="B35" i="21"/>
  <c r="C35" i="21"/>
  <c r="C37" i="21"/>
  <c r="C38" i="21"/>
  <c r="C27" i="21"/>
  <c r="C28" i="21"/>
  <c r="C29" i="21"/>
  <c r="C30" i="21"/>
  <c r="A32" i="21"/>
  <c r="B32" i="21"/>
  <c r="C32" i="21"/>
  <c r="C33" i="21"/>
  <c r="C34" i="21"/>
  <c r="A10" i="21"/>
  <c r="B10" i="21"/>
  <c r="C10" i="21"/>
  <c r="C11" i="21"/>
  <c r="A49" i="21"/>
  <c r="B49" i="21"/>
  <c r="C49" i="21"/>
  <c r="C50" i="21"/>
  <c r="C51" i="21"/>
  <c r="C52" i="21"/>
  <c r="C54" i="21"/>
  <c r="A57" i="21"/>
  <c r="B57" i="21"/>
  <c r="C57" i="21"/>
  <c r="C97" i="21"/>
  <c r="C98" i="21"/>
  <c r="C99" i="21"/>
  <c r="C100" i="21"/>
  <c r="C101" i="21"/>
  <c r="C106" i="21"/>
  <c r="A107" i="21"/>
  <c r="B107" i="21"/>
  <c r="C107" i="21"/>
  <c r="C108" i="21"/>
  <c r="C110" i="21"/>
  <c r="A111" i="21"/>
  <c r="B111" i="21"/>
  <c r="C111" i="21"/>
  <c r="A17" i="20"/>
  <c r="B17" i="20"/>
  <c r="C17" i="20"/>
  <c r="C18" i="20"/>
  <c r="A25" i="20"/>
  <c r="B25" i="20"/>
  <c r="C25" i="20"/>
  <c r="C26" i="20"/>
  <c r="A43" i="20"/>
  <c r="B43" i="20"/>
  <c r="C43" i="20"/>
  <c r="C64" i="20"/>
  <c r="C65" i="20"/>
  <c r="C67" i="20"/>
  <c r="C68" i="20"/>
  <c r="A10" i="19"/>
  <c r="B10" i="19"/>
  <c r="C10" i="19"/>
  <c r="A18" i="19"/>
  <c r="B18" i="19"/>
  <c r="C18" i="19"/>
  <c r="C19" i="19"/>
  <c r="A25" i="19"/>
  <c r="B25" i="19"/>
  <c r="C25" i="19"/>
  <c r="C26" i="19"/>
  <c r="A43" i="19"/>
  <c r="B43" i="19"/>
  <c r="C43" i="19"/>
  <c r="A55" i="19"/>
  <c r="B55" i="19"/>
  <c r="C55" i="19"/>
  <c r="C56" i="19"/>
  <c r="C57" i="19"/>
  <c r="C58" i="19"/>
  <c r="C59" i="19"/>
  <c r="C61" i="19"/>
  <c r="C62" i="19"/>
  <c r="C64" i="19"/>
  <c r="C65" i="19"/>
  <c r="A143" i="19"/>
  <c r="B143" i="19"/>
  <c r="C143" i="19"/>
  <c r="C145" i="19"/>
  <c r="C146" i="19"/>
  <c r="C20" i="18"/>
  <c r="C21" i="18"/>
  <c r="C22" i="18"/>
  <c r="C23" i="18"/>
  <c r="A25" i="18"/>
  <c r="B25" i="18"/>
  <c r="C25" i="18"/>
  <c r="C26" i="18"/>
  <c r="C27" i="18"/>
  <c r="A3" i="18"/>
  <c r="B3" i="18"/>
  <c r="C3" i="18"/>
  <c r="A36" i="18"/>
  <c r="B36" i="18"/>
  <c r="C37" i="18"/>
  <c r="A60" i="18"/>
  <c r="B60" i="18"/>
  <c r="C60" i="18"/>
  <c r="A153" i="18"/>
  <c r="B153" i="18"/>
  <c r="C153" i="18"/>
  <c r="C156" i="18"/>
  <c r="C95" i="18"/>
  <c r="A96" i="18"/>
  <c r="B96" i="18"/>
  <c r="C96" i="18"/>
  <c r="C97" i="18"/>
  <c r="C99" i="18"/>
  <c r="A100" i="18"/>
  <c r="B100" i="18"/>
  <c r="C100" i="18"/>
  <c r="A3" i="15"/>
  <c r="B3" i="15"/>
  <c r="C3" i="15"/>
  <c r="C4" i="15"/>
  <c r="C6" i="15"/>
  <c r="A16" i="15"/>
  <c r="B16" i="15"/>
  <c r="C16" i="15"/>
  <c r="A109" i="15"/>
  <c r="B109" i="15"/>
  <c r="C109" i="15"/>
  <c r="C112" i="15"/>
  <c r="C49" i="15"/>
  <c r="A50" i="15"/>
  <c r="B50" i="15"/>
  <c r="C50" i="15"/>
  <c r="C51" i="15"/>
  <c r="C53" i="15"/>
  <c r="A137" i="15"/>
  <c r="B137" i="15"/>
  <c r="C137" i="15"/>
  <c r="A15" i="17"/>
  <c r="B15" i="17"/>
  <c r="C15" i="17"/>
  <c r="C17" i="17"/>
  <c r="A63" i="17"/>
  <c r="B63" i="17"/>
  <c r="C63" i="17"/>
  <c r="C66" i="17"/>
  <c r="C23" i="17"/>
  <c r="C24" i="17"/>
  <c r="C25" i="17"/>
  <c r="C26" i="17"/>
  <c r="C27" i="17"/>
  <c r="A102" i="17"/>
  <c r="B102" i="17"/>
  <c r="A105" i="17"/>
  <c r="B105" i="17"/>
  <c r="C105" i="17"/>
  <c r="C107" i="17"/>
  <c r="C108" i="17"/>
  <c r="A3" i="16"/>
  <c r="B3" i="16"/>
  <c r="C3" i="16"/>
  <c r="C4" i="16"/>
  <c r="C6" i="16"/>
  <c r="C9" i="16"/>
  <c r="A26" i="16"/>
  <c r="B26" i="16"/>
  <c r="C26" i="16"/>
  <c r="C28" i="16"/>
  <c r="A81" i="16"/>
  <c r="B81" i="16"/>
  <c r="C81" i="16"/>
  <c r="C84" i="16"/>
  <c r="C34" i="16"/>
  <c r="C35" i="16"/>
  <c r="C36" i="16"/>
  <c r="C37" i="16"/>
  <c r="C38" i="16"/>
  <c r="A118" i="16"/>
  <c r="B118" i="16"/>
  <c r="A122" i="16"/>
  <c r="B122" i="16"/>
  <c r="C122" i="16"/>
  <c r="C124" i="16"/>
  <c r="C125" i="16"/>
  <c r="A11" i="14"/>
  <c r="B11" i="14"/>
  <c r="C11" i="14"/>
  <c r="C19" i="14"/>
  <c r="C28" i="14"/>
  <c r="A29" i="14"/>
  <c r="B29" i="14"/>
  <c r="C29" i="14"/>
  <c r="C30" i="14"/>
  <c r="C32" i="14"/>
  <c r="C34" i="14"/>
  <c r="A4" i="13"/>
  <c r="B4" i="13"/>
  <c r="C4" i="13"/>
  <c r="A27" i="13"/>
  <c r="B27" i="13"/>
  <c r="C27" i="13"/>
  <c r="C28" i="13"/>
  <c r="C30" i="13"/>
  <c r="C32" i="13"/>
  <c r="A3" i="11"/>
  <c r="B3" i="11"/>
  <c r="C3" i="11"/>
  <c r="A27" i="11"/>
  <c r="B27" i="11"/>
  <c r="C27" i="11"/>
  <c r="C46" i="11"/>
  <c r="A47" i="11"/>
  <c r="B47" i="11"/>
  <c r="C47" i="11"/>
  <c r="C48" i="11"/>
  <c r="C50" i="11"/>
  <c r="A51" i="11"/>
  <c r="B51" i="11"/>
  <c r="C51" i="11"/>
  <c r="C52" i="11"/>
  <c r="A55" i="11"/>
  <c r="B55" i="11"/>
  <c r="C55" i="11"/>
  <c r="C56" i="11"/>
  <c r="C58" i="11"/>
  <c r="C60" i="11"/>
  <c r="A148" i="11"/>
  <c r="B148" i="11"/>
  <c r="C148" i="11"/>
  <c r="C150" i="11"/>
  <c r="C151" i="11"/>
  <c r="C186" i="11"/>
  <c r="C187" i="11"/>
  <c r="C188" i="11"/>
  <c r="C189" i="11"/>
  <c r="C190" i="11"/>
  <c r="B215" i="11"/>
  <c r="C20" i="10"/>
  <c r="A21" i="10"/>
  <c r="B21" i="10"/>
  <c r="C21" i="10"/>
  <c r="C22" i="10"/>
  <c r="C24" i="10"/>
  <c r="A25" i="10"/>
  <c r="B25" i="10"/>
  <c r="C25" i="10"/>
  <c r="C26" i="10"/>
  <c r="C28" i="10"/>
  <c r="C30" i="10"/>
  <c r="B147" i="10"/>
  <c r="C20" i="9"/>
  <c r="A21" i="9"/>
  <c r="B21" i="9"/>
  <c r="C21" i="9"/>
  <c r="C22" i="9"/>
  <c r="C24" i="9"/>
  <c r="A7" i="31"/>
  <c r="C7" i="31"/>
  <c r="A14" i="31"/>
  <c r="B14" i="31"/>
  <c r="C14" i="31"/>
  <c r="C15" i="31"/>
  <c r="C17" i="31"/>
  <c r="C19" i="31"/>
  <c r="A20" i="8"/>
  <c r="B20" i="8"/>
  <c r="C20" i="8"/>
  <c r="C21" i="8"/>
  <c r="C23" i="8"/>
  <c r="A24" i="8"/>
  <c r="B24" i="8"/>
  <c r="C24" i="8"/>
  <c r="C25" i="8"/>
  <c r="C27" i="8"/>
  <c r="C29" i="8"/>
  <c r="G57" i="10" l="1"/>
  <c r="G56" i="13"/>
  <c r="G75" i="25"/>
  <c r="G192" i="25" s="1"/>
  <c r="G35" i="11"/>
  <c r="G59" i="17"/>
  <c r="G68" i="13"/>
  <c r="G20" i="12"/>
  <c r="G52" i="17"/>
  <c r="G70" i="16"/>
  <c r="G87" i="19"/>
  <c r="G59" i="14"/>
  <c r="G64" i="16"/>
  <c r="G75" i="13"/>
  <c r="G37" i="9"/>
  <c r="G32" i="12"/>
  <c r="G49" i="9"/>
  <c r="G25" i="9"/>
  <c r="G146" i="9" s="1"/>
  <c r="G82" i="15"/>
  <c r="G26" i="12"/>
  <c r="G43" i="9"/>
  <c r="G3" i="26"/>
  <c r="G61" i="25"/>
  <c r="G7" i="12"/>
  <c r="G30" i="8"/>
  <c r="G73" i="21"/>
  <c r="G84" i="25"/>
  <c r="G87" i="25"/>
  <c r="G42" i="8"/>
  <c r="G32" i="31"/>
  <c r="G52" i="16"/>
  <c r="G40" i="22"/>
  <c r="G3" i="12"/>
  <c r="G3" i="8"/>
  <c r="G20" i="8"/>
  <c r="G3" i="31"/>
  <c r="G14" i="31"/>
  <c r="G26" i="31"/>
  <c r="G83" i="9"/>
  <c r="G73" i="9"/>
  <c r="G130" i="11"/>
  <c r="G68" i="8"/>
  <c r="G105" i="16"/>
  <c r="G91" i="16"/>
  <c r="G80" i="8"/>
  <c r="G48" i="8"/>
  <c r="G45" i="12"/>
  <c r="G55" i="12"/>
  <c r="G24" i="8"/>
  <c r="G49" i="12"/>
  <c r="G79" i="9"/>
  <c r="G84" i="8"/>
  <c r="G39" i="12"/>
  <c r="G21" i="9"/>
  <c r="G58" i="8"/>
  <c r="G3" i="14"/>
  <c r="G89" i="21"/>
  <c r="G82" i="21"/>
  <c r="G180" i="21" s="1"/>
  <c r="F28" i="22"/>
  <c r="G27" i="22" s="1"/>
  <c r="F73" i="18"/>
  <c r="G72" i="18" s="1"/>
  <c r="G81" i="18"/>
  <c r="G29" i="15"/>
  <c r="G50" i="20"/>
  <c r="G36" i="22"/>
  <c r="G60" i="23"/>
  <c r="F13" i="13"/>
  <c r="G12" i="13" s="1"/>
  <c r="G57" i="23"/>
  <c r="G36" i="8"/>
  <c r="F23" i="23"/>
  <c r="G18" i="23" s="1"/>
  <c r="G204" i="18"/>
  <c r="G36" i="17"/>
  <c r="G149" i="16"/>
  <c r="G135" i="19"/>
  <c r="G11" i="14"/>
  <c r="G64" i="15"/>
  <c r="G67" i="25"/>
  <c r="G102" i="21"/>
  <c r="G161" i="20"/>
  <c r="G171" i="20"/>
  <c r="G181" i="18"/>
  <c r="G104" i="18"/>
  <c r="G101" i="13"/>
  <c r="G133" i="9"/>
  <c r="G159" i="19"/>
  <c r="G94" i="22"/>
  <c r="G42" i="31"/>
  <c r="G110" i="11"/>
  <c r="G146" i="25"/>
  <c r="G160" i="21"/>
  <c r="G139" i="21"/>
  <c r="G146" i="20"/>
  <c r="G83" i="14"/>
  <c r="G203" i="11"/>
  <c r="G149" i="21"/>
  <c r="G49" i="18"/>
  <c r="G143" i="21"/>
  <c r="G115" i="16"/>
  <c r="G120" i="11"/>
  <c r="G125" i="17"/>
  <c r="F190" i="18"/>
  <c r="G190" i="18"/>
  <c r="G94" i="25"/>
  <c r="G9" i="24"/>
  <c r="G10" i="21"/>
  <c r="G38" i="13"/>
  <c r="G78" i="20"/>
  <c r="G139" i="9"/>
  <c r="G135" i="16"/>
  <c r="G143" i="19"/>
  <c r="G139" i="11"/>
  <c r="G102" i="14"/>
  <c r="G128" i="15"/>
  <c r="G9" i="27"/>
  <c r="G48" i="27"/>
  <c r="G10" i="25"/>
  <c r="G165" i="25"/>
  <c r="G46" i="24"/>
  <c r="G155" i="20"/>
  <c r="G3" i="18"/>
  <c r="G11" i="18"/>
  <c r="G92" i="17"/>
  <c r="G147" i="23"/>
  <c r="G192" i="23" s="1"/>
  <c r="G136" i="10"/>
  <c r="G132" i="10"/>
  <c r="G73" i="22"/>
  <c r="G11" i="22"/>
  <c r="F28" i="20"/>
  <c r="F26" i="20"/>
  <c r="F29" i="20"/>
  <c r="F27" i="20"/>
  <c r="G36" i="24"/>
  <c r="G81" i="24" s="1"/>
  <c r="G75" i="19"/>
  <c r="G122" i="16"/>
  <c r="G118" i="17"/>
  <c r="G105" i="17"/>
  <c r="G92" i="13"/>
  <c r="G88" i="13"/>
  <c r="G134" i="15"/>
  <c r="G16" i="27"/>
  <c r="G18" i="25"/>
  <c r="G169" i="25"/>
  <c r="G10" i="20"/>
  <c r="G25" i="18"/>
  <c r="G165" i="18"/>
  <c r="G88" i="17"/>
  <c r="G108" i="13"/>
  <c r="G151" i="23"/>
  <c r="G143" i="23"/>
  <c r="G9" i="26"/>
  <c r="G96" i="17"/>
  <c r="G101" i="16"/>
  <c r="G148" i="11"/>
  <c r="G185" i="11"/>
  <c r="G206" i="11"/>
  <c r="G48" i="22"/>
  <c r="G52" i="22"/>
  <c r="G128" i="16"/>
  <c r="G111" i="17"/>
  <c r="G187" i="21"/>
  <c r="G82" i="10"/>
  <c r="G29" i="14"/>
  <c r="G76" i="15"/>
  <c r="G32" i="25"/>
  <c r="G180" i="25"/>
  <c r="G100" i="25"/>
  <c r="G105" i="25"/>
  <c r="G175" i="25"/>
  <c r="G153" i="21"/>
  <c r="G107" i="21"/>
  <c r="G171" i="18"/>
  <c r="G96" i="18"/>
  <c r="G62" i="13"/>
  <c r="G113" i="15"/>
  <c r="G172" i="23"/>
  <c r="G157" i="23"/>
  <c r="G73" i="23"/>
  <c r="G15" i="26"/>
  <c r="G119" i="19"/>
  <c r="G81" i="19"/>
  <c r="G45" i="10"/>
  <c r="G41" i="14"/>
  <c r="G160" i="23"/>
  <c r="G18" i="21"/>
  <c r="G109" i="16"/>
  <c r="G142" i="10"/>
  <c r="G154" i="11"/>
  <c r="G10" i="23"/>
  <c r="G35" i="14"/>
  <c r="F127" i="15"/>
  <c r="G124" i="15" s="1"/>
  <c r="G176" i="20"/>
  <c r="F170" i="20"/>
  <c r="G164" i="20" s="1"/>
  <c r="G186" i="18"/>
  <c r="F180" i="18"/>
  <c r="G174" i="18" s="1"/>
  <c r="G84" i="20"/>
  <c r="G19" i="11"/>
  <c r="G86" i="11"/>
  <c r="G53" i="27"/>
  <c r="G54" i="27"/>
  <c r="F31" i="21"/>
  <c r="G26" i="21" s="1"/>
  <c r="G32" i="21"/>
  <c r="F164" i="18"/>
  <c r="G161" i="18" s="1"/>
  <c r="G140" i="19"/>
  <c r="F134" i="19"/>
  <c r="G128" i="19" s="1"/>
  <c r="F112" i="21"/>
  <c r="G111" i="21" s="1"/>
  <c r="G74" i="11"/>
  <c r="G82" i="13"/>
  <c r="G45" i="15"/>
  <c r="G70" i="24"/>
  <c r="G90" i="20"/>
  <c r="G17" i="20"/>
  <c r="G60" i="19"/>
  <c r="G73" i="17"/>
  <c r="G87" i="14"/>
  <c r="F101" i="18"/>
  <c r="G100" i="18" s="1"/>
  <c r="G86" i="10"/>
  <c r="G80" i="11"/>
  <c r="G50" i="13"/>
  <c r="G44" i="13"/>
  <c r="G68" i="11"/>
  <c r="G29" i="17"/>
  <c r="G53" i="14"/>
  <c r="G39" i="10"/>
  <c r="G58" i="16"/>
  <c r="G67" i="22"/>
  <c r="G177" i="23"/>
  <c r="F171" i="23"/>
  <c r="G165" i="23" s="1"/>
  <c r="F96" i="14"/>
  <c r="G93" i="14" s="1"/>
  <c r="G33" i="13"/>
  <c r="G70" i="15"/>
  <c r="G92" i="15"/>
  <c r="G26" i="23"/>
  <c r="G77" i="14"/>
  <c r="G46" i="16"/>
  <c r="G58" i="22"/>
  <c r="F60" i="24"/>
  <c r="G58" i="24" s="1"/>
  <c r="F42" i="21"/>
  <c r="G41" i="21" s="1"/>
  <c r="F37" i="18"/>
  <c r="G36" i="18" s="1"/>
  <c r="G208" i="18" s="1"/>
  <c r="F93" i="18"/>
  <c r="G91" i="18" s="1"/>
  <c r="F57" i="19"/>
  <c r="G55" i="19" s="1"/>
  <c r="F68" i="20"/>
  <c r="G63" i="20" s="1"/>
  <c r="F202" i="11"/>
  <c r="G197" i="11" s="1"/>
  <c r="F50" i="21"/>
  <c r="G49" i="21" s="1"/>
  <c r="F4" i="15"/>
  <c r="G3" i="15" s="1"/>
  <c r="F37" i="23"/>
  <c r="G32" i="23" s="1"/>
  <c r="F68" i="23"/>
  <c r="G67" i="23" s="1"/>
  <c r="F18" i="9"/>
  <c r="G16" i="9" s="1"/>
  <c r="F8" i="27"/>
  <c r="G3" i="27" s="1"/>
  <c r="F31" i="25"/>
  <c r="G26" i="25" s="1"/>
  <c r="F23" i="17"/>
  <c r="G22" i="17" s="1"/>
  <c r="F39" i="23"/>
  <c r="G38" i="23" s="1"/>
  <c r="F46" i="23"/>
  <c r="G45" i="23" s="1"/>
  <c r="F20" i="19"/>
  <c r="G18" i="19" s="1"/>
  <c r="F4" i="16"/>
  <c r="G3" i="16" s="1"/>
  <c r="F213" i="11"/>
  <c r="G211" i="11" s="1"/>
  <c r="F4" i="22"/>
  <c r="G3" i="22" s="1"/>
  <c r="F40" i="21"/>
  <c r="G35" i="21" s="1"/>
  <c r="F26" i="19"/>
  <c r="G25" i="19" s="1"/>
  <c r="F43" i="25"/>
  <c r="G41" i="25" s="1"/>
  <c r="F67" i="8"/>
  <c r="G64" i="8" s="1"/>
  <c r="F34" i="16"/>
  <c r="G33" i="16" s="1"/>
  <c r="F81" i="10"/>
  <c r="G76" i="10" s="1"/>
  <c r="F26" i="22"/>
  <c r="F42" i="19"/>
  <c r="F91" i="23"/>
  <c r="G86" i="23" s="1"/>
  <c r="G153" i="15"/>
  <c r="G43" i="19"/>
  <c r="F58" i="18"/>
  <c r="G149" i="10"/>
  <c r="G27" i="27"/>
  <c r="G16" i="10"/>
  <c r="G43" i="20"/>
  <c r="F52" i="11"/>
  <c r="G51" i="11" s="1"/>
  <c r="G89" i="9"/>
  <c r="G22" i="24"/>
  <c r="G3" i="11"/>
  <c r="G55" i="25"/>
  <c r="G31" i="24"/>
  <c r="G27" i="11"/>
  <c r="G26" i="24"/>
  <c r="G16" i="15"/>
  <c r="G39" i="15"/>
  <c r="G18" i="14"/>
  <c r="G24" i="14"/>
  <c r="G71" i="20"/>
  <c r="G85" i="16"/>
  <c r="G42" i="11"/>
  <c r="G25" i="10"/>
  <c r="G50" i="15"/>
  <c r="G57" i="15"/>
  <c r="F80" i="22"/>
  <c r="G48" i="25"/>
  <c r="G67" i="17"/>
  <c r="G21" i="10"/>
  <c r="G63" i="24"/>
  <c r="G37" i="27"/>
  <c r="G33" i="27"/>
  <c r="G3" i="24"/>
  <c r="G3" i="25"/>
  <c r="G54" i="24"/>
  <c r="G40" i="24"/>
  <c r="G60" i="18"/>
  <c r="F47" i="27"/>
  <c r="G41" i="27" s="1"/>
  <c r="G3" i="10"/>
  <c r="G55" i="11"/>
  <c r="G47" i="11"/>
  <c r="G61" i="11"/>
  <c r="F37" i="15"/>
  <c r="F24" i="18"/>
  <c r="G19" i="18" s="1"/>
  <c r="G32" i="10"/>
  <c r="G27" i="13"/>
  <c r="G61" i="22"/>
  <c r="F94" i="21"/>
  <c r="G22" i="26"/>
  <c r="G3" i="20"/>
  <c r="G15" i="17"/>
  <c r="G96" i="21"/>
  <c r="G3" i="21"/>
  <c r="G21" i="13"/>
  <c r="G26" i="16"/>
  <c r="G39" i="16"/>
  <c r="G43" i="22"/>
  <c r="G28" i="18"/>
  <c r="G49" i="24"/>
  <c r="G77" i="23"/>
  <c r="F72" i="21"/>
  <c r="G57" i="21"/>
  <c r="G3" i="19"/>
  <c r="G68" i="19"/>
  <c r="F89" i="18"/>
  <c r="G3" i="23"/>
  <c r="G130" i="17" l="1"/>
  <c r="G151" i="15"/>
  <c r="G206" i="18"/>
  <c r="G167" i="19"/>
  <c r="G25" i="20"/>
  <c r="G90" i="8"/>
  <c r="G172" i="19"/>
  <c r="G147" i="16"/>
  <c r="G149" i="9"/>
  <c r="G179" i="21"/>
  <c r="G148" i="9"/>
  <c r="G191" i="20"/>
  <c r="G89" i="8"/>
  <c r="G192" i="20"/>
  <c r="G168" i="19"/>
  <c r="G183" i="21"/>
  <c r="G193" i="20"/>
  <c r="G165" i="19"/>
  <c r="G114" i="14"/>
  <c r="G129" i="17"/>
  <c r="G207" i="18"/>
  <c r="G150" i="15"/>
  <c r="G132" i="17"/>
  <c r="G94" i="8"/>
  <c r="G190" i="23"/>
  <c r="G152" i="9"/>
  <c r="G91" i="8"/>
  <c r="G182" i="21"/>
  <c r="G184" i="21"/>
  <c r="G157" i="10"/>
  <c r="G169" i="19"/>
  <c r="G64" i="12"/>
  <c r="F10" i="5" s="1"/>
  <c r="B10" i="5" s="1"/>
  <c r="C10" i="5" s="1"/>
  <c r="G209" i="18"/>
  <c r="G147" i="9"/>
  <c r="G194" i="23"/>
  <c r="G128" i="17"/>
  <c r="G195" i="20"/>
  <c r="G146" i="16"/>
  <c r="G181" i="21"/>
  <c r="G131" i="17"/>
  <c r="G224" i="11"/>
  <c r="G205" i="18"/>
  <c r="G151" i="10"/>
  <c r="G30" i="26"/>
  <c r="G27" i="5" s="1"/>
  <c r="D27" i="5" s="1"/>
  <c r="G194" i="20"/>
  <c r="G195" i="23"/>
  <c r="G191" i="23"/>
  <c r="G166" i="19"/>
  <c r="G189" i="25"/>
  <c r="G84" i="24"/>
  <c r="G190" i="20"/>
  <c r="G56" i="27"/>
  <c r="G118" i="13"/>
  <c r="G44" i="31"/>
  <c r="G188" i="25"/>
  <c r="G89" i="22"/>
  <c r="G115" i="13"/>
  <c r="G193" i="23"/>
  <c r="G90" i="22"/>
  <c r="G112" i="14"/>
  <c r="G43" i="31"/>
  <c r="G82" i="24"/>
  <c r="G117" i="13"/>
  <c r="G110" i="14"/>
  <c r="G217" i="11"/>
  <c r="G190" i="25"/>
  <c r="G91" i="22"/>
  <c r="G148" i="16"/>
  <c r="G153" i="10"/>
  <c r="G219" i="11"/>
  <c r="G83" i="24"/>
  <c r="G152" i="10"/>
  <c r="G113" i="14"/>
  <c r="G152" i="15"/>
  <c r="G115" i="14"/>
  <c r="G58" i="27"/>
  <c r="G116" i="13"/>
  <c r="G220" i="11"/>
  <c r="G154" i="10"/>
  <c r="G221" i="11"/>
  <c r="G191" i="25"/>
  <c r="G150" i="10"/>
  <c r="G145" i="16"/>
  <c r="G218" i="11"/>
  <c r="G149" i="15"/>
  <c r="G148" i="15"/>
  <c r="G151" i="16" l="1"/>
  <c r="F16" i="5" s="1"/>
  <c r="B16" i="5" s="1"/>
  <c r="D35" i="5"/>
  <c r="E35" i="5" s="1"/>
  <c r="G151" i="9"/>
  <c r="F11" i="5" s="1"/>
  <c r="B11" i="5" s="1"/>
  <c r="E27" i="5"/>
  <c r="G156" i="10"/>
  <c r="F12" i="5" s="1"/>
  <c r="B12" i="5" s="1"/>
  <c r="C12" i="5" s="1"/>
  <c r="G134" i="17"/>
  <c r="G142" i="15" s="1"/>
  <c r="G223" i="11"/>
  <c r="F13" i="5" s="1"/>
  <c r="B13" i="5" s="1"/>
  <c r="C13" i="5" s="1"/>
  <c r="G93" i="8"/>
  <c r="F8" i="5" s="1"/>
  <c r="G46" i="31"/>
  <c r="F9" i="5" s="1"/>
  <c r="B9" i="5" s="1"/>
  <c r="G197" i="20"/>
  <c r="F21" i="5" s="1"/>
  <c r="B21" i="5" s="1"/>
  <c r="C21" i="5" s="1"/>
  <c r="G186" i="21"/>
  <c r="F22" i="5" s="1"/>
  <c r="B22" i="5" s="1"/>
  <c r="G211" i="18"/>
  <c r="G143" i="15" s="1"/>
  <c r="G155" i="15"/>
  <c r="G38" i="31" s="1"/>
  <c r="G171" i="19"/>
  <c r="F20" i="5" s="1"/>
  <c r="B20" i="5" s="1"/>
  <c r="C20" i="5" s="1"/>
  <c r="G86" i="24"/>
  <c r="G28" i="5" s="1"/>
  <c r="D28" i="5" s="1"/>
  <c r="G197" i="23"/>
  <c r="F24" i="5" s="1"/>
  <c r="B24" i="5" s="1"/>
  <c r="C24" i="5" s="1"/>
  <c r="G60" i="27"/>
  <c r="G25" i="5" s="1"/>
  <c r="D25" i="5" s="1"/>
  <c r="E25" i="5" s="1"/>
  <c r="G194" i="25"/>
  <c r="G26" i="5" s="1"/>
  <c r="D26" i="5" s="1"/>
  <c r="G93" i="22"/>
  <c r="G120" i="13"/>
  <c r="F14" i="5" s="1"/>
  <c r="B14" i="5" s="1"/>
  <c r="C14" i="5" s="1"/>
  <c r="G35" i="5"/>
  <c r="G111" i="14"/>
  <c r="D36" i="5" l="1"/>
  <c r="B31" i="5"/>
  <c r="C11" i="5"/>
  <c r="C9" i="5"/>
  <c r="E26" i="5"/>
  <c r="C22" i="5"/>
  <c r="C16" i="5"/>
  <c r="E28" i="5"/>
  <c r="G117" i="14"/>
  <c r="F15" i="5" s="1"/>
  <c r="B15" i="5" s="1"/>
  <c r="C15" i="5" s="1"/>
  <c r="F18" i="5"/>
  <c r="B18" i="5" s="1"/>
  <c r="C18" i="5" s="1"/>
  <c r="F19" i="5"/>
  <c r="B19" i="5" s="1"/>
  <c r="C19" i="5" s="1"/>
  <c r="F17" i="5"/>
  <c r="B17" i="5" s="1"/>
  <c r="C17" i="5" s="1"/>
  <c r="G40" i="31"/>
  <c r="F23" i="5"/>
  <c r="B8" i="5"/>
  <c r="B30" i="5" s="1"/>
  <c r="G62" i="12"/>
  <c r="G65" i="12" s="1"/>
  <c r="G10" i="5" s="1"/>
  <c r="D10" i="5" s="1"/>
  <c r="E10" i="5" s="1"/>
  <c r="G141" i="15"/>
  <c r="G39" i="31"/>
  <c r="G143" i="16"/>
  <c r="G152" i="16" s="1"/>
  <c r="G146" i="15"/>
  <c r="G145" i="15"/>
  <c r="G13" i="5"/>
  <c r="D13" i="5" s="1"/>
  <c r="E13" i="5" s="1"/>
  <c r="G11" i="5"/>
  <c r="D11" i="5" s="1"/>
  <c r="G12" i="5"/>
  <c r="D12" i="5" s="1"/>
  <c r="E12" i="5" s="1"/>
  <c r="G188" i="23"/>
  <c r="G201" i="18"/>
  <c r="G200" i="18"/>
  <c r="D126" i="17"/>
  <c r="G144" i="15"/>
  <c r="F31" i="5"/>
  <c r="G187" i="23"/>
  <c r="G36" i="5"/>
  <c r="C31" i="5" l="1"/>
  <c r="B33" i="5"/>
  <c r="C33" i="5" s="1"/>
  <c r="D31" i="5"/>
  <c r="B32" i="5"/>
  <c r="C32" i="5" s="1"/>
  <c r="E11" i="5"/>
  <c r="C8" i="5"/>
  <c r="C30" i="5" s="1"/>
  <c r="F32" i="5"/>
  <c r="G47" i="31"/>
  <c r="G9" i="5" s="1"/>
  <c r="D9" i="5" s="1"/>
  <c r="F33" i="5"/>
  <c r="G23" i="5"/>
  <c r="D23" i="5" s="1"/>
  <c r="E23" i="5" s="1"/>
  <c r="B23" i="5"/>
  <c r="G8" i="5"/>
  <c r="D8" i="5" s="1"/>
  <c r="D30" i="5" s="1"/>
  <c r="F30" i="5"/>
  <c r="G16" i="5"/>
  <c r="D16" i="5" s="1"/>
  <c r="G198" i="23"/>
  <c r="G24" i="5" s="1"/>
  <c r="D24" i="5" s="1"/>
  <c r="E24" i="5" s="1"/>
  <c r="G156" i="15"/>
  <c r="G18" i="5" s="1"/>
  <c r="D18" i="5" s="1"/>
  <c r="E18" i="5" s="1"/>
  <c r="G212" i="18"/>
  <c r="G19" i="5" s="1"/>
  <c r="D19" i="5" s="1"/>
  <c r="E19" i="5" s="1"/>
  <c r="G22" i="5"/>
  <c r="D22" i="5" s="1"/>
  <c r="G21" i="5"/>
  <c r="D21" i="5" s="1"/>
  <c r="E21" i="5" s="1"/>
  <c r="G20" i="5"/>
  <c r="D20" i="5" s="1"/>
  <c r="E20" i="5" s="1"/>
  <c r="G126" i="17"/>
  <c r="G135" i="17" s="1"/>
  <c r="G17" i="5" s="1"/>
  <c r="D17" i="5" s="1"/>
  <c r="E17" i="5" s="1"/>
  <c r="G31" i="5"/>
  <c r="F34" i="5"/>
  <c r="E31" i="5" l="1"/>
  <c r="E9" i="5"/>
  <c r="D32" i="5"/>
  <c r="E32" i="5" s="1"/>
  <c r="C23" i="5"/>
  <c r="B34" i="5"/>
  <c r="E22" i="5"/>
  <c r="D34" i="5"/>
  <c r="E34" i="5" s="1"/>
  <c r="E16" i="5"/>
  <c r="D33" i="5"/>
  <c r="E8" i="5"/>
  <c r="E30" i="5" s="1"/>
  <c r="G30" i="5"/>
  <c r="G32" i="5"/>
  <c r="G33" i="5"/>
  <c r="G34" i="5"/>
  <c r="E33" i="5" l="1"/>
  <c r="C34" i="5"/>
</calcChain>
</file>

<file path=xl/sharedStrings.xml><?xml version="1.0" encoding="utf-8"?>
<sst xmlns="http://schemas.openxmlformats.org/spreadsheetml/2006/main" count="3536" uniqueCount="2950">
  <si>
    <t>Wetlands that are narrower than the channel, lake, or estuary they adjoin are likely to have much less effect on water temperature in those receiving waters.</t>
  </si>
  <si>
    <t>Conservation Investment</t>
  </si>
  <si>
    <t>Mitigation Investment</t>
  </si>
  <si>
    <t>S5</t>
  </si>
  <si>
    <t>Fish Access or Use</t>
  </si>
  <si>
    <t>Tidal Proximity</t>
  </si>
  <si>
    <t>F8</t>
  </si>
  <si>
    <t>F9</t>
  </si>
  <si>
    <t>Internal Gradient</t>
  </si>
  <si>
    <t>Most waterbirds favor ponded areas (that typically are flat) rather than flowing water that typifies slope and riverine wetlands.</t>
  </si>
  <si>
    <t>Many pollinating species depend on such microtopographic features for nest sites and cover.</t>
  </si>
  <si>
    <t>Function Score for Aquatic Invertebrate Habitat</t>
  </si>
  <si>
    <t>Severe (3 points)</t>
  </si>
  <si>
    <t>Medium (2 points)</t>
  </si>
  <si>
    <t>Mild (1 point)</t>
  </si>
  <si>
    <t>Vegetation provides more food and cover to invertebrates than do bare areas, so invertebrate density and diversity is typically greater.</t>
  </si>
  <si>
    <t>Carbon Sequestration (CS)</t>
  </si>
  <si>
    <t>Aquatic Invertebrate Habitat (INV)</t>
  </si>
  <si>
    <t>Anadromous Fish Habitat (FA)</t>
  </si>
  <si>
    <t>Waterbird Feeding Habitat (WBF)</t>
  </si>
  <si>
    <t>Waterbird Nesting Habitat (WBN)</t>
  </si>
  <si>
    <t>Pollinator Habitat (POL)</t>
  </si>
  <si>
    <t>Function Score for Carbon Sequestration</t>
  </si>
  <si>
    <t>Regardless of the accessibility and quality of a wetland, if anadromous fish cannot access the larger watershed of which it is a part, the wetland will be unable to currently support anadromous fish.</t>
  </si>
  <si>
    <t>Domestic Wells</t>
  </si>
  <si>
    <t>Dense vegetation offers frictional resistance to water flow, promoting sedimentation of suspended particles, as well as reducing the resuspension of bottom sediments by waves and currents.</t>
  </si>
  <si>
    <t>These features cumulatively decelerate runoff, thus allowing for more sedimentation to occur, although usually only to a minor degree.</t>
  </si>
  <si>
    <t>F66</t>
  </si>
  <si>
    <t>N Fixers</t>
  </si>
  <si>
    <t>F39</t>
  </si>
  <si>
    <t>F40</t>
  </si>
  <si>
    <t>F41</t>
  </si>
  <si>
    <t>F42</t>
  </si>
  <si>
    <t>F43</t>
  </si>
  <si>
    <t>F45</t>
  </si>
  <si>
    <t>F49</t>
  </si>
  <si>
    <t>F50</t>
  </si>
  <si>
    <t>F51</t>
  </si>
  <si>
    <t>F54</t>
  </si>
  <si>
    <t>A direct indicator of value, at least for some species.</t>
  </si>
  <si>
    <t>Fish are especially valued in food webs when the same wetland's structure also strongly supports important consumers such as birds (e.g., loons, grebes, cormorants, kingfisher).</t>
  </si>
  <si>
    <t>Increased visitation by humans and pets can potentially increase the spread of aquatic fungi that are lethal to many amphibians.</t>
  </si>
  <si>
    <t>A direct (but hardly the only) indicator of value, at least for some species.</t>
  </si>
  <si>
    <t>Wetlands with upland inclusions allow animals to move more conveniently between uplands and wetlands, using resources in each.</t>
  </si>
  <si>
    <t>These wetland species are particularly valued because of their rarity and/or declining populations as listed by agencies.</t>
  </si>
  <si>
    <t>Data</t>
  </si>
  <si>
    <t>F56</t>
  </si>
  <si>
    <t>F10</t>
  </si>
  <si>
    <t>F18</t>
  </si>
  <si>
    <t>F65</t>
  </si>
  <si>
    <t>F12</t>
  </si>
  <si>
    <t>F46</t>
  </si>
  <si>
    <t>F</t>
  </si>
  <si>
    <t>V</t>
  </si>
  <si>
    <t>Aspect</t>
  </si>
  <si>
    <t>Function Score for Pollinator Habitat</t>
  </si>
  <si>
    <t>Function Score for Feeding Waterbird Habitat</t>
  </si>
  <si>
    <t>Function Score for Nesting Waterbird Habitat</t>
  </si>
  <si>
    <t>Function Score for Songbird, Raptor, &amp; Mammal Habitat</t>
  </si>
  <si>
    <t>Wetlands with greater plant richness are likely to be more valuable to pollinators if other factors already suggest the wetland has high capacity to support pollinators.</t>
  </si>
  <si>
    <t>Greater microtopography implies greater heterogeneity of water, vegetation, and disturbance regimes, which together should indicate higher capacity to support a wide variety of invertebrates.</t>
  </si>
  <si>
    <t>Steeper gradients imply a greater likelihood that whatever organic matter is produced will be transported offsite.</t>
  </si>
  <si>
    <t xml:space="preserve">Function Score for Phosphorus Retention </t>
  </si>
  <si>
    <t>Function Score for Nitrate Removal</t>
  </si>
  <si>
    <t>Upland Inclusions</t>
  </si>
  <si>
    <t>Although wetlands that never contain surface water may still be visited by feeding waterbirds, they are used by fewer species.</t>
  </si>
  <si>
    <t>Nitrate Removal &amp; Retention (NR)</t>
  </si>
  <si>
    <t>Because actual data on phosphorus loads are lacking for many wetland watersheds, this approximation based on a host of phosphorus-generating activities is included as well.</t>
  </si>
  <si>
    <t>These features cumulatively decelerate runoff, thus allowing for more deposition of phosphorus-containing suspended sediments to occur, although usually only to a minor degree.</t>
  </si>
  <si>
    <t>Used as a classifier.</t>
  </si>
  <si>
    <t>Function Score for Native Plant Habitat</t>
  </si>
  <si>
    <t>Score for Wetland Sensitivity</t>
  </si>
  <si>
    <t>Many wetland invertebrates inhabit the soil, and potentially are harmed by soil disturbance such as from tillage or compaction.</t>
  </si>
  <si>
    <t>F2</t>
  </si>
  <si>
    <t>F3</t>
  </si>
  <si>
    <t>These areas were designated based on a rigorous nomination and screening process by ornithologists.</t>
  </si>
  <si>
    <t>Most waterbirds favor ponded areas (that typically are flat) rather than flowing water that typifies slope wetlands.</t>
  </si>
  <si>
    <t>F59</t>
  </si>
  <si>
    <t>F44</t>
  </si>
  <si>
    <t>Function Score for Water Storage</t>
  </si>
  <si>
    <t>Function Score for Sediment Retention &amp; Stabilization</t>
  </si>
  <si>
    <t>Sustained Scientific Use</t>
  </si>
  <si>
    <t>S3</t>
  </si>
  <si>
    <t>S2</t>
  </si>
  <si>
    <t>Function Score for Anadromous Fish Habitat</t>
  </si>
  <si>
    <t>Function Score for Non-anadromous Fish Habitat</t>
  </si>
  <si>
    <t>Such areas have been chosen through a systematic selection process by biologists and birders in each state.</t>
  </si>
  <si>
    <t>See above.</t>
  </si>
  <si>
    <t>#</t>
  </si>
  <si>
    <t>Fluc6</t>
  </si>
  <si>
    <t>Depth6</t>
  </si>
  <si>
    <t>VwidthAbs6</t>
  </si>
  <si>
    <t>OutDura6</t>
  </si>
  <si>
    <t>Constric6</t>
  </si>
  <si>
    <t>ThruFlo6</t>
  </si>
  <si>
    <t>Nfixer6</t>
  </si>
  <si>
    <t>Gcover6</t>
  </si>
  <si>
    <t>SoilTex6</t>
  </si>
  <si>
    <t>Gradient6</t>
  </si>
  <si>
    <t>NewWet6</t>
  </si>
  <si>
    <t>AqPlantCov6</t>
  </si>
  <si>
    <t>Wettype8</t>
  </si>
  <si>
    <t>SeasPct8</t>
  </si>
  <si>
    <t>AqCov8</t>
  </si>
  <si>
    <t>PermWpct8</t>
  </si>
  <si>
    <t>ABpct8</t>
  </si>
  <si>
    <t>IsoWet8</t>
  </si>
  <si>
    <t>Fluc8</t>
  </si>
  <si>
    <t>Depth8</t>
  </si>
  <si>
    <t>Interspers8</t>
  </si>
  <si>
    <t>ThruFlo8</t>
  </si>
  <si>
    <t>Nfixers8</t>
  </si>
  <si>
    <t>WoodDown8</t>
  </si>
  <si>
    <t>Gcover8</t>
  </si>
  <si>
    <t>Girreg8</t>
  </si>
  <si>
    <t>NatVegPctC8</t>
  </si>
  <si>
    <t>CUbuffLUtyp8</t>
  </si>
  <si>
    <t>TidalProx8</t>
  </si>
  <si>
    <t>Landscape</t>
  </si>
  <si>
    <t>Hydroperiod</t>
  </si>
  <si>
    <t>Connectivity</t>
  </si>
  <si>
    <t>Structure</t>
  </si>
  <si>
    <t>Groundw8</t>
  </si>
  <si>
    <t>SeasWpct9</t>
  </si>
  <si>
    <t>Shade9</t>
  </si>
  <si>
    <t>WoodAbove9</t>
  </si>
  <si>
    <t>AqPlantCov9</t>
  </si>
  <si>
    <t>Depth9</t>
  </si>
  <si>
    <t>Interspers9</t>
  </si>
  <si>
    <t>GroundW9</t>
  </si>
  <si>
    <t>OutDura9</t>
  </si>
  <si>
    <t>Thruflo9</t>
  </si>
  <si>
    <t>BuffLU9</t>
  </si>
  <si>
    <t>TidalProx9</t>
  </si>
  <si>
    <t>Access9</t>
  </si>
  <si>
    <t>ImpervCA9</t>
  </si>
  <si>
    <t>AltTime9</t>
  </si>
  <si>
    <t>SedIn9</t>
  </si>
  <si>
    <t>Fishing9</t>
  </si>
  <si>
    <t>WbirdFeed</t>
  </si>
  <si>
    <t>PermWpct10</t>
  </si>
  <si>
    <t>ABpct10</t>
  </si>
  <si>
    <t>Depth10</t>
  </si>
  <si>
    <t>Interspers10</t>
  </si>
  <si>
    <t>OutDura10</t>
  </si>
  <si>
    <t>ThruFlo10</t>
  </si>
  <si>
    <t>Access10</t>
  </si>
  <si>
    <t>AltTime10</t>
  </si>
  <si>
    <t>PopDist10</t>
  </si>
  <si>
    <t>Productivity</t>
  </si>
  <si>
    <t>ImpervCA</t>
  </si>
  <si>
    <t>PermWpct9</t>
  </si>
  <si>
    <t>Wettype9</t>
  </si>
  <si>
    <t>BuffPctNat9</t>
  </si>
  <si>
    <t>Wettype10</t>
  </si>
  <si>
    <t>Nfix10</t>
  </si>
  <si>
    <t>Groundw10</t>
  </si>
  <si>
    <t>HydroRegime</t>
  </si>
  <si>
    <t>Anoxia Risk</t>
  </si>
  <si>
    <t>Lake10</t>
  </si>
  <si>
    <t>BuffSlope2</t>
  </si>
  <si>
    <t>BuffSlope3</t>
  </si>
  <si>
    <t>Wettype11</t>
  </si>
  <si>
    <t>Fluctu11</t>
  </si>
  <si>
    <t>PermWpct11</t>
  </si>
  <si>
    <t>WoodAbove11</t>
  </si>
  <si>
    <t>ABpct11</t>
  </si>
  <si>
    <t>IsoWet11</t>
  </si>
  <si>
    <t>Interspers11</t>
  </si>
  <si>
    <t>Vwidth11</t>
  </si>
  <si>
    <t>TreeVar11</t>
  </si>
  <si>
    <t>WoodDown11</t>
  </si>
  <si>
    <t>Gcover11</t>
  </si>
  <si>
    <t>Girreg11</t>
  </si>
  <si>
    <t>Inclus11</t>
  </si>
  <si>
    <t>GroundW11</t>
  </si>
  <si>
    <t>Core1_11</t>
  </si>
  <si>
    <t>Core2_11</t>
  </si>
  <si>
    <t>NatVegPct11</t>
  </si>
  <si>
    <t>BuffLU11</t>
  </si>
  <si>
    <t>RoadCirc11</t>
  </si>
  <si>
    <t>RdDis11</t>
  </si>
  <si>
    <t>NatVegProx11</t>
  </si>
  <si>
    <t>NatCov2mi11</t>
  </si>
  <si>
    <t>ScapeLU11</t>
  </si>
  <si>
    <t>NatVegSize11</t>
  </si>
  <si>
    <t>PondProx11</t>
  </si>
  <si>
    <t>FishAcc11</t>
  </si>
  <si>
    <t>Toxic11</t>
  </si>
  <si>
    <t>AcidicPool10</t>
  </si>
  <si>
    <t>Aspect11</t>
  </si>
  <si>
    <t>Aspect4</t>
  </si>
  <si>
    <t>Waterscape</t>
  </si>
  <si>
    <t>Fringe12</t>
  </si>
  <si>
    <t>SeasWpct12</t>
  </si>
  <si>
    <t>PermWpct12</t>
  </si>
  <si>
    <t>ABpct12</t>
  </si>
  <si>
    <t>IsoWet12</t>
  </si>
  <si>
    <t>Depth12</t>
  </si>
  <si>
    <t>Interspers12</t>
  </si>
  <si>
    <t>EmPct12</t>
  </si>
  <si>
    <t>Mudflat12</t>
  </si>
  <si>
    <t>Gradient12</t>
  </si>
  <si>
    <t>Core12a</t>
  </si>
  <si>
    <t>Core12b</t>
  </si>
  <si>
    <t>PondProx12</t>
  </si>
  <si>
    <t>BigPondProx12</t>
  </si>
  <si>
    <t>TidalProx12</t>
  </si>
  <si>
    <t>Fish12a</t>
  </si>
  <si>
    <t>_Tox12</t>
  </si>
  <si>
    <t>Duckhunt</t>
  </si>
  <si>
    <t>Rare12</t>
  </si>
  <si>
    <t>Beaver12</t>
  </si>
  <si>
    <t>Wettype12</t>
  </si>
  <si>
    <t>Wettype13</t>
  </si>
  <si>
    <t>Fringe13</t>
  </si>
  <si>
    <t>Fluctu13</t>
  </si>
  <si>
    <t>PermWpct13</t>
  </si>
  <si>
    <t>ISOdry13</t>
  </si>
  <si>
    <t>Depth13</t>
  </si>
  <si>
    <t>Interspers13</t>
  </si>
  <si>
    <t>VwidthAbs13</t>
  </si>
  <si>
    <t>EmPct13</t>
  </si>
  <si>
    <t>SnagB13</t>
  </si>
  <si>
    <t>TreeForm13</t>
  </si>
  <si>
    <t>Gradient13</t>
  </si>
  <si>
    <t>Core1_13</t>
  </si>
  <si>
    <t>Core2_13</t>
  </si>
  <si>
    <t>BuffNatPct13</t>
  </si>
  <si>
    <t>BuffLUtype13</t>
  </si>
  <si>
    <t>RdDis13</t>
  </si>
  <si>
    <t>PondProx13</t>
  </si>
  <si>
    <t>LakeProx13</t>
  </si>
  <si>
    <t>Acidic13</t>
  </si>
  <si>
    <t>Beaver13</t>
  </si>
  <si>
    <t>SeasWpct</t>
  </si>
  <si>
    <t>PermWpct14</t>
  </si>
  <si>
    <t>WoodPatt14</t>
  </si>
  <si>
    <t>SnagsD14</t>
  </si>
  <si>
    <t>Gcover14</t>
  </si>
  <si>
    <t>Girreg14</t>
  </si>
  <si>
    <t>Inclus14</t>
  </si>
  <si>
    <t>Cliffs14</t>
  </si>
  <si>
    <t>Beaver14</t>
  </si>
  <si>
    <t>Core14a</t>
  </si>
  <si>
    <t>Core14b</t>
  </si>
  <si>
    <t>UpEdge14</t>
  </si>
  <si>
    <t>CUtypeLU14</t>
  </si>
  <si>
    <t>PopCtr14</t>
  </si>
  <si>
    <t>RdBox14</t>
  </si>
  <si>
    <t>DisRd14</t>
  </si>
  <si>
    <t>NatVegPctScape14</t>
  </si>
  <si>
    <t>ScapeLU14</t>
  </si>
  <si>
    <t>PondProx14</t>
  </si>
  <si>
    <t>_IBA14</t>
  </si>
  <si>
    <t>Rare14</t>
  </si>
  <si>
    <t>Interspers14</t>
  </si>
  <si>
    <t>Vwidth14</t>
  </si>
  <si>
    <t>Nfix14</t>
  </si>
  <si>
    <t>ShrubDiv14</t>
  </si>
  <si>
    <t>Songbird, Raptor, &amp; Mammal Habitat (SBM)</t>
  </si>
  <si>
    <t>Type of Land Cover Alteration</t>
  </si>
  <si>
    <t>Contaminants in food webs are detrimental in the long term.</t>
  </si>
  <si>
    <t>S4</t>
  </si>
  <si>
    <t>Downed Wood</t>
  </si>
  <si>
    <t>SeasPct</t>
  </si>
  <si>
    <t>IsoDry</t>
  </si>
  <si>
    <t>Fluctua</t>
  </si>
  <si>
    <t>OutDura</t>
  </si>
  <si>
    <t>Constric</t>
  </si>
  <si>
    <t>ThruFlo</t>
  </si>
  <si>
    <t>Gradient</t>
  </si>
  <si>
    <t>FloodBdg</t>
  </si>
  <si>
    <t>CAunveg</t>
  </si>
  <si>
    <t>Transport</t>
  </si>
  <si>
    <t>Large water level fluctuations pose the possibility of increased shoreline erosion, which can be partly alleviated by wetlands, thus making those wetlands more valuable as shoreline stabilizers.</t>
  </si>
  <si>
    <t>F55</t>
  </si>
  <si>
    <t>Predominant Depth Class</t>
  </si>
  <si>
    <t>S1</t>
  </si>
  <si>
    <t>Public Use &amp; Recognition (PU)</t>
  </si>
  <si>
    <r>
      <t xml:space="preserve">Soil or Sediment Alteration </t>
    </r>
    <r>
      <rPr>
        <b/>
        <i/>
        <sz val="12"/>
        <rFont val="Arial"/>
        <family val="2"/>
      </rPr>
      <t>Within the Assessment Area</t>
    </r>
  </si>
  <si>
    <t>F15</t>
  </si>
  <si>
    <t>NewWet_S</t>
  </si>
  <si>
    <t>GDD_S</t>
  </si>
  <si>
    <t>CUratio_S</t>
  </si>
  <si>
    <t>TreeCovS</t>
  </si>
  <si>
    <t>AbioSens</t>
  </si>
  <si>
    <t>BioSens</t>
  </si>
  <si>
    <t>Fertility</t>
  </si>
  <si>
    <t>Colonizer</t>
  </si>
  <si>
    <t>GrowthRate</t>
  </si>
  <si>
    <t>Depth15</t>
  </si>
  <si>
    <t>WidthPD</t>
  </si>
  <si>
    <t>GirregPD</t>
  </si>
  <si>
    <t>SoilTexPD</t>
  </si>
  <si>
    <t>herbdom15</t>
  </si>
  <si>
    <t>WeedSourcePD</t>
  </si>
  <si>
    <t>NatVegCApd</t>
  </si>
  <si>
    <t>BuffLUpd</t>
  </si>
  <si>
    <t>Core1pd</t>
  </si>
  <si>
    <t>Core2pd</t>
  </si>
  <si>
    <t>PopCtr15</t>
  </si>
  <si>
    <t>DistRdPD</t>
  </si>
  <si>
    <t>PondProx15</t>
  </si>
  <si>
    <t>AltTime20</t>
  </si>
  <si>
    <t>ScorePOLf</t>
  </si>
  <si>
    <t>NfixPD</t>
  </si>
  <si>
    <t>SeasWpctPD</t>
  </si>
  <si>
    <t>SizePD</t>
  </si>
  <si>
    <t>GWpd</t>
  </si>
  <si>
    <t>BeaverPD</t>
  </si>
  <si>
    <t>FlucPD</t>
  </si>
  <si>
    <t>GDDpd</t>
  </si>
  <si>
    <t>ShrubSun11</t>
  </si>
  <si>
    <t>Aquatic Structure</t>
  </si>
  <si>
    <t>Terrestrial Structure</t>
  </si>
  <si>
    <t>Aquatic Fertility</t>
  </si>
  <si>
    <t>Terrestrial Fertility</t>
  </si>
  <si>
    <t>ScoreSBM</t>
  </si>
  <si>
    <t>Friction</t>
  </si>
  <si>
    <t>Groundwater Input</t>
  </si>
  <si>
    <t>OutDur</t>
  </si>
  <si>
    <t>Entrain</t>
  </si>
  <si>
    <t>Depth2_</t>
  </si>
  <si>
    <t>Soil2_</t>
  </si>
  <si>
    <t>Groundw2_</t>
  </si>
  <si>
    <t>OutDur2_</t>
  </si>
  <si>
    <t>Aspect2_</t>
  </si>
  <si>
    <t>AnadFish7</t>
  </si>
  <si>
    <t>Fringe7b</t>
  </si>
  <si>
    <t>ShadeIn7</t>
  </si>
  <si>
    <t>OutDur7</t>
  </si>
  <si>
    <t>Aspect7v</t>
  </si>
  <si>
    <t>Imperv7</t>
  </si>
  <si>
    <t>InvScore2</t>
  </si>
  <si>
    <t>AnadScore2</t>
  </si>
  <si>
    <t>Gwater7</t>
  </si>
  <si>
    <t>Shade7</t>
  </si>
  <si>
    <t>ISOdry7</t>
  </si>
  <si>
    <t>Depth7</t>
  </si>
  <si>
    <t>Aspect7</t>
  </si>
  <si>
    <t>Fluc2</t>
  </si>
  <si>
    <t>SeasPct2</t>
  </si>
  <si>
    <t>AqPlantCov2</t>
  </si>
  <si>
    <t>DepthC2</t>
  </si>
  <si>
    <t>WidthAbs2</t>
  </si>
  <si>
    <t>OutDur2</t>
  </si>
  <si>
    <t>Constric2</t>
  </si>
  <si>
    <t>ThruFlo2</t>
  </si>
  <si>
    <t>Gcover2</t>
  </si>
  <si>
    <t>Girreg2</t>
  </si>
  <si>
    <t>Gradient2</t>
  </si>
  <si>
    <t>GDD2</t>
  </si>
  <si>
    <t>MaxFluc2</t>
  </si>
  <si>
    <t>Inflo2</t>
  </si>
  <si>
    <t>CAnatPct2</t>
  </si>
  <si>
    <t>CApct2</t>
  </si>
  <si>
    <t>ImpervPctSS</t>
  </si>
  <si>
    <t>TransportSS</t>
  </si>
  <si>
    <t>Erodible2</t>
  </si>
  <si>
    <t>Lake3</t>
  </si>
  <si>
    <t>Persis3</t>
  </si>
  <si>
    <t>AqPlantCov3</t>
  </si>
  <si>
    <t>Fluctu3</t>
  </si>
  <si>
    <t>DomDepth3</t>
  </si>
  <si>
    <t>VegWabs3</t>
  </si>
  <si>
    <t>OutDura3</t>
  </si>
  <si>
    <t>Constric3</t>
  </si>
  <si>
    <t>ThruFlo3</t>
  </si>
  <si>
    <t>Gcover3</t>
  </si>
  <si>
    <t>Girreg3</t>
  </si>
  <si>
    <t>SoilTex3</t>
  </si>
  <si>
    <t>Gradient3</t>
  </si>
  <si>
    <t>GDD3</t>
  </si>
  <si>
    <t>CApctB3</t>
  </si>
  <si>
    <t>Inflo3</t>
  </si>
  <si>
    <t>Groundw3</t>
  </si>
  <si>
    <t>NatCApct3</t>
  </si>
  <si>
    <t>CApct3</t>
  </si>
  <si>
    <t>ImpervCA3</t>
  </si>
  <si>
    <t>Transport3</t>
  </si>
  <si>
    <t>Pload3</t>
  </si>
  <si>
    <t>Wettype4</t>
  </si>
  <si>
    <t>SeasWpct4</t>
  </si>
  <si>
    <t>PermWpct4</t>
  </si>
  <si>
    <t>AqPlantCov4</t>
  </si>
  <si>
    <t>Fluctu4</t>
  </si>
  <si>
    <t>Interspers4</t>
  </si>
  <si>
    <t>VwidthAbs4</t>
  </si>
  <si>
    <t>TreeCanop4</t>
  </si>
  <si>
    <t>Nfix4</t>
  </si>
  <si>
    <t>Groundw4</t>
  </si>
  <si>
    <t>OutDura4</t>
  </si>
  <si>
    <t>Constric4</t>
  </si>
  <si>
    <t>Thruflo4</t>
  </si>
  <si>
    <t>Gcover4</t>
  </si>
  <si>
    <t>Girreg4</t>
  </si>
  <si>
    <t>Inclus4</t>
  </si>
  <si>
    <t>SoilTex4</t>
  </si>
  <si>
    <t>Gradient4</t>
  </si>
  <si>
    <t>NewWet</t>
  </si>
  <si>
    <t>SoilDisturb4</t>
  </si>
  <si>
    <t>CAnatPct4</t>
  </si>
  <si>
    <t>BuffSlope4</t>
  </si>
  <si>
    <t>Aquifer4</t>
  </si>
  <si>
    <t>PopDist4</t>
  </si>
  <si>
    <t>Capct4</t>
  </si>
  <si>
    <t>Imperv4</t>
  </si>
  <si>
    <t>Transport4</t>
  </si>
  <si>
    <t>AqPlantCov5</t>
  </si>
  <si>
    <t>Groundw6</t>
  </si>
  <si>
    <t>ToxData2</t>
  </si>
  <si>
    <t>Nfix9</t>
  </si>
  <si>
    <t>Karst9</t>
  </si>
  <si>
    <t>ToxData9</t>
  </si>
  <si>
    <t>ToxData10</t>
  </si>
  <si>
    <t>Wetlands with greater plant richness are likely to be more valuable to supporting a variety of songbirds and mammals if other factors already suggest the wetland has high capacity to support those.</t>
  </si>
  <si>
    <t>Karst16a</t>
  </si>
  <si>
    <t>Wettype2</t>
  </si>
  <si>
    <t>Organic Nutrient Export (OE)</t>
  </si>
  <si>
    <t>F4</t>
  </si>
  <si>
    <t>F6</t>
  </si>
  <si>
    <t>F17</t>
  </si>
  <si>
    <t>F20</t>
  </si>
  <si>
    <t>F22</t>
  </si>
  <si>
    <t>F24</t>
  </si>
  <si>
    <t>F29</t>
  </si>
  <si>
    <t>F30</t>
  </si>
  <si>
    <t>F31</t>
  </si>
  <si>
    <t>F32</t>
  </si>
  <si>
    <t>F33</t>
  </si>
  <si>
    <t>F36</t>
  </si>
  <si>
    <t>F37</t>
  </si>
  <si>
    <t>F38</t>
  </si>
  <si>
    <t>F47</t>
  </si>
  <si>
    <t>F52</t>
  </si>
  <si>
    <t>F53</t>
  </si>
  <si>
    <t>F57</t>
  </si>
  <si>
    <t>F58</t>
  </si>
  <si>
    <t>F60</t>
  </si>
  <si>
    <t>F61</t>
  </si>
  <si>
    <t>F63</t>
  </si>
  <si>
    <t>F64</t>
  </si>
  <si>
    <t>Wetland Ecological Condition</t>
  </si>
  <si>
    <t>Ownership</t>
  </si>
  <si>
    <r>
      <t xml:space="preserve">Excessive Sediment Loading </t>
    </r>
    <r>
      <rPr>
        <b/>
        <i/>
        <sz val="12"/>
        <rFont val="Arial"/>
        <family val="2"/>
      </rPr>
      <t>from Contributing Area</t>
    </r>
  </si>
  <si>
    <t>Transport From Upslope</t>
  </si>
  <si>
    <t>Alteration of a wetland's water quality or its normal water or sediment regime is usually followed by invasion by non-native species, making these an indicator of past or ongoing alteration.</t>
  </si>
  <si>
    <t>Wetlands that are more geographically isolated from each other may be likely to have lower plant species richness than those close together (Nekola 1999).</t>
  </si>
  <si>
    <t>Complex microtopography provides many suitable microclimates important to survival of adult amphibians during the late summer, fall, and winter.</t>
  </si>
  <si>
    <t>To meet all their life history requirements, most amphibians require uplands in close proximity to, or interspersed within, suitable wetlands.</t>
  </si>
  <si>
    <t>Stressors</t>
  </si>
  <si>
    <t>F48</t>
  </si>
  <si>
    <t>Woody Diameter Classes</t>
  </si>
  <si>
    <t>F11</t>
  </si>
  <si>
    <t>F13</t>
  </si>
  <si>
    <t>F14</t>
  </si>
  <si>
    <t>F16</t>
  </si>
  <si>
    <t>F23</t>
  </si>
  <si>
    <t>F25</t>
  </si>
  <si>
    <t>F26</t>
  </si>
  <si>
    <t>F27</t>
  </si>
  <si>
    <t>F28</t>
  </si>
  <si>
    <t>F34</t>
  </si>
  <si>
    <t>F35</t>
  </si>
  <si>
    <t>Visibility</t>
  </si>
  <si>
    <t>F1</t>
  </si>
  <si>
    <t>F5</t>
  </si>
  <si>
    <t>Road corridors are a significant vector for non-native plants that can reduce native plant richness if they invade nearby wetlands.</t>
  </si>
  <si>
    <t>Complex microtopography reflects and provides more extensive habitat for small mammals and some songbirds.</t>
  </si>
  <si>
    <t>F7</t>
  </si>
  <si>
    <t>F19</t>
  </si>
  <si>
    <t>F21</t>
  </si>
  <si>
    <t>Rationale</t>
  </si>
  <si>
    <t>Amphibians are especially valued when the same wetland's structure also strongly supports important consumers such as waterbirds (e.g., herons) and mammals which prey upon them.</t>
  </si>
  <si>
    <t>Larger water bodies such as lakes tend to attract higher densities of waterbirds, other factors being equal (e.g., Savard et al. 1994).</t>
  </si>
  <si>
    <t>Public enjoyment of wetlands is assumed to be greater when most of the wetland can be seen without obstruction by dense shrubs or other features.</t>
  </si>
  <si>
    <t>Public ownership generally implies greater public use.</t>
  </si>
  <si>
    <t>The portion of a wetland that is accessible to visitors is assumed to be an important determinant of frequence of visitation</t>
  </si>
  <si>
    <t>Collection of long term data from wetlands is in the public interest partly because it can lead to more effective and fair regulations.</t>
  </si>
  <si>
    <t>Mitigation wetlands represent an investment of funds in the public's interest, which should not be wasted.</t>
  </si>
  <si>
    <t>Prior public investment for these purposes requires greater protection.</t>
  </si>
  <si>
    <t>If vegetation cover in a wetland is already sparse, it is often more susceptible to further loss from erosion and altered microclimate.</t>
  </si>
  <si>
    <t>Wetland Type</t>
  </si>
  <si>
    <t>Distance by Road to Nearest Population Center</t>
  </si>
  <si>
    <t>F62</t>
  </si>
  <si>
    <t>Function Score for Low Flow Augmentation</t>
  </si>
  <si>
    <t>Function Scores</t>
  </si>
  <si>
    <t>Function Score for Invertebrates</t>
  </si>
  <si>
    <t>Function Score for Water Cooling</t>
  </si>
  <si>
    <t>Summer streamflow is critical to supporting this group's productivity and diversity.</t>
  </si>
  <si>
    <t>The need to cool surface waters is likely to be greatest at locations where much of the contributing area is clearcut or paved, thus generating warmer inputs to streams.</t>
  </si>
  <si>
    <t>Wetlands that have no outflow are likely to have only minimal effect on temperature of other water bodies.</t>
  </si>
  <si>
    <t>GroundW5</t>
  </si>
  <si>
    <t>SeasWpct5</t>
  </si>
  <si>
    <t>PermWpct5</t>
  </si>
  <si>
    <t>IsoWet5</t>
  </si>
  <si>
    <t>Depth5</t>
  </si>
  <si>
    <t>VwidthAbs5</t>
  </si>
  <si>
    <t>MossCov5</t>
  </si>
  <si>
    <t>OutDura5</t>
  </si>
  <si>
    <t>Constric5</t>
  </si>
  <si>
    <t>TreeForm5</t>
  </si>
  <si>
    <t>SoilTex5</t>
  </si>
  <si>
    <t>NewWet5</t>
  </si>
  <si>
    <t>Wettype5</t>
  </si>
  <si>
    <t>Fluctu5</t>
  </si>
  <si>
    <t>SeasWpct6</t>
  </si>
  <si>
    <t>StructureA</t>
  </si>
  <si>
    <t>StructureB</t>
  </si>
  <si>
    <t>persist0</t>
  </si>
  <si>
    <t>woodydbh0</t>
  </si>
  <si>
    <t>Sngs0</t>
  </si>
  <si>
    <t>downwood0</t>
  </si>
  <si>
    <t>gcover0</t>
  </si>
  <si>
    <t>girreg0</t>
  </si>
  <si>
    <t>herbsens0</t>
  </si>
  <si>
    <t>herbdiv0</t>
  </si>
  <si>
    <t>cliff0</t>
  </si>
  <si>
    <t>NestSites</t>
  </si>
  <si>
    <t>RecreaPot</t>
  </si>
  <si>
    <t>PopCtrDisPU</t>
  </si>
  <si>
    <t>TidalProxPU</t>
  </si>
  <si>
    <t>MitigaSite</t>
  </si>
  <si>
    <t>ConsInvest</t>
  </si>
  <si>
    <t>SciUse</t>
  </si>
  <si>
    <t>Investment</t>
  </si>
  <si>
    <t>PopCtrDist</t>
  </si>
  <si>
    <t>WeedSource</t>
  </si>
  <si>
    <t>NatVegCA</t>
  </si>
  <si>
    <t>Core1</t>
  </si>
  <si>
    <t>Core2</t>
  </si>
  <si>
    <t>RdBox</t>
  </si>
  <si>
    <t>DistRd</t>
  </si>
  <si>
    <t>CAimperv</t>
  </si>
  <si>
    <t>ToxicData</t>
  </si>
  <si>
    <t>AltTiming</t>
  </si>
  <si>
    <t>Toxic</t>
  </si>
  <si>
    <t>SedLoad</t>
  </si>
  <si>
    <t>SoilDisturb</t>
  </si>
  <si>
    <t>EmSens1_C</t>
  </si>
  <si>
    <t>HerbDom1</t>
  </si>
  <si>
    <t>RareAll</t>
  </si>
  <si>
    <t>BareGpct</t>
  </si>
  <si>
    <t>GirregCQ</t>
  </si>
  <si>
    <t>Under natural unimpacted conditions, many but not all wetlands will have extensive microtopography.</t>
  </si>
  <si>
    <t>Lack of vegetative cover suggests a wetland may be in poor condition as a result of human-related impacts, but could also be the result of natural limitations or events.</t>
  </si>
  <si>
    <t>Wetlands whose existence or extent depends on beaver are more sensitive in the sense that they may not be sustained naturally over time if beaver populations and associated beaver dams decline.</t>
  </si>
  <si>
    <t>WettypeS</t>
  </si>
  <si>
    <t>Longer wetland-upland edge relative to wetland area (i.e., convoluted edge) implies a wetland may be more vulnerable to invasive species, higher evapotranspiration, and other disturbances characteristic of adjoining uplands.</t>
  </si>
  <si>
    <t>IsoDry_S</t>
  </si>
  <si>
    <t>Depth_S</t>
  </si>
  <si>
    <t>VwidthAbs_S</t>
  </si>
  <si>
    <t>OutDura_S</t>
  </si>
  <si>
    <t>Constric_S</t>
  </si>
  <si>
    <t>EmSens1_S</t>
  </si>
  <si>
    <t>HerbDom2</t>
  </si>
  <si>
    <t>ShrubPattS</t>
  </si>
  <si>
    <t>WoodySens2_S</t>
  </si>
  <si>
    <t>TreeDBHs</t>
  </si>
  <si>
    <t>NfixS</t>
  </si>
  <si>
    <t>Gcover_S</t>
  </si>
  <si>
    <t>SoilTex_S</t>
  </si>
  <si>
    <t>Beaver_S</t>
  </si>
  <si>
    <t>NatVegCUpct_S</t>
  </si>
  <si>
    <t>BuffSlope_S</t>
  </si>
  <si>
    <t>NatVegProx_S</t>
  </si>
  <si>
    <t>NatVegSize_S</t>
  </si>
  <si>
    <t>PondProx_S</t>
  </si>
  <si>
    <t>LakeProx_S</t>
  </si>
  <si>
    <t>UpEdge_S</t>
  </si>
  <si>
    <t xml:space="preserve">Dense vegetation offers frictional resistance to runoff, promoting sedimentation of suspended particles and reducing erosion. This promotes phosphorus retention because phosphorus is typically adsorbed to soil particles. </t>
  </si>
  <si>
    <t>Phosphorus Retention (PR)</t>
  </si>
  <si>
    <t>Native Plant Habitat (PH)</t>
  </si>
  <si>
    <t>Core1PU</t>
  </si>
  <si>
    <t>Core2PU</t>
  </si>
  <si>
    <t>WBFscore10</t>
  </si>
  <si>
    <t>SBMscore10</t>
  </si>
  <si>
    <t>This is the primary indicator of a wetland's potential for supporting summer flow in connected downslope streams.</t>
  </si>
  <si>
    <t>North-facing slopes are likely to remain frozen for longer periods, thus limiting the soil's capacity to store or infiltrate runoff.</t>
  </si>
  <si>
    <t>Streams facilitate transport of sediment and adsorbed phosphorus, so an inflowing stream provides more opportunity for a wetland to perform this function.</t>
  </si>
  <si>
    <t>Streams facilitate transport of nitrate from upland sources into wetlands, so an inflowing stream provides more opportunity for a wetland to perform this function.</t>
  </si>
  <si>
    <t>Fish are especially valued in food webs when the same wetland's structure also strongly supports important consumers such as waterbirds (e.g., loons, grebes, cormorants, kingfisher) and mammals.</t>
  </si>
  <si>
    <t>Stream Flow Support (SFS)</t>
  </si>
  <si>
    <t>SoilTex</t>
  </si>
  <si>
    <t>Groundw</t>
  </si>
  <si>
    <t>Upland soils are normally aerobic, whereas wetland soils are often anaerobic. Maximum denitrification occurs at the interface of aerobic and anaerobic conditions. Thus, proportionally longer (i.e., convoluted) edges should provide the most opportunity for removal of nitrate via denitrification.</t>
  </si>
  <si>
    <t>Soil compaction seals up pores in the soil that serve as habitat space for denitrifying bacteria, as well as causing a larger proportion of the precipitation to leave as runoff rather than infiltrate into subsurface areas where denitrification is greatest. Soil erosion often results in loss of carbon-rich upper soil layers that are important to denitrification.</t>
  </si>
  <si>
    <t xml:space="preserve">Increased slope in a watershed or buffer strip has been linked to increased delivery of sediment and sometimes nitrate to downgradient streams and wetlands, e.g., Trimble &amp; Sartz (1957), Dillaha et al. (1988, 1989), Phillips (1989), Nieswand et al. (1990). However, an Ontario study found the slope of the contributing area had relatively little effect on concentrations of nitrate and carbon in a downslope riparian area. Soil carbon was more responsible for increasing nitrate removal, and soil carbon was actually greater on steeper slopes in that study area (Hazlett et al. 2008). </t>
  </si>
  <si>
    <t>Nitrate is a potentially serious contaminant of drinking water due to health effects on infants. Thus, when wetlands remove it before it contaminates groundwater, the wetlands are performing an especially valued service.</t>
  </si>
  <si>
    <t>See the above. This indicator is highly correlated to it but is not identical.</t>
  </si>
  <si>
    <t xml:space="preserve">The need for (and value of) nitrate removal capacity (which is potentially provided by wetlands) is greater when upland runoff is rapid and erosive, with the potential to contribute much sediment and nitrate from other sources, as occurs when much of the contributing area contains impervious surface. </t>
  </si>
  <si>
    <t>The need for (and value of) nitrate removal that potentially could be provided by wetlands is greater when upland nitrate loads are not being retained by features closer to the nitrate source. Vegetated buffers are more effective in protecting the quality of wetlands when most water enters the wetland as shallow subsurface lateral flow or discharging groundwater, rather than channel flow or surface runoff (Dillaha et al. 1989, Dosskey et al. 2001, Wigington et al. 2003, Mayer et al. 2005). Buffers in rural New York were found to be ineffective when crossed by small unmapped drainageways (e.g., roadside ditches) that were not buffered but were connected to pollution sources (Madden et al. 2007).</t>
  </si>
  <si>
    <t xml:space="preserve">Flatter wetlands are more likely than steep ones to slow runoff, facilitating more deposition of organic matter that is associated with it. However, a Pennsylvania study found that slope wetlands tended to have moderate to high rates of organic matter accretion compared with other wetland geomorphic types (Wardrop &amp; Brooks 1998). Also, methane emissions may be less from sloping wetlands, due to greater aeration of their soils (Tauchnitz et al. 2008). </t>
  </si>
  <si>
    <t>NOTE: No indicators addressing VALUES of this function are currently proposed because its value is diffused throughout the entire planet.</t>
  </si>
  <si>
    <t>Nitrogen added to a wetland by N-fixing plants can increase the wetland's overall plant productivity, potentially making more organic matter available for export. Presence of alder in conifer woodlands also can speed the decomposition of organic material from the conifers (Fyles &amp; Fyles 1993) perhaps making it more useful for supporting aquatic life.</t>
  </si>
  <si>
    <t>These features cumulatively decelerate runoff, thus allowing for more biological processing and deposition of nitrate-containing suspended sediments, although usually only to a minor degree. The presence of soil cracks implies a potential downward extension of the aerobic zone, interspersing it with anaerobic areas, which should lead to greater denitrification. Studies of wastewater treatment wetlands have shown greater nitrate removal where pockets of deeper water are interspersed with shallower areas (i.e., diverse microtopography).</t>
  </si>
  <si>
    <t>Upland soils are normally aerobic, whereas wetland soils are often anaerobic. Maximum denitrification occurs at the interface of aerobic and anaerobic conditions. Thus, if inclusions of aerobic non-wetland soils are numerous and interspersed throughout a wetland, the extent of denitrification overall should be greater.</t>
  </si>
  <si>
    <t xml:space="preserve">Flatter wetlands are more likely than steep ones to slow runoff, facilitating more deposition of suspended matter and the nitrate that is associated with it, and also supporting anaerobic conditions that lead to more nitrate removal via denitrification. Steeper gradients in a wetland imply greater potential for outflow and transport downslope, and more aerobic conditions. </t>
  </si>
  <si>
    <t>Storage by wetlands is obviously more valuable when properties located downslope might otherwise be flooded. The need for (and value of) storage potentially provided by wetlands is greater when floodable property downslope is not being adequately protected by other water storage or detention features.</t>
  </si>
  <si>
    <t>Type of Cover in Buffer</t>
  </si>
  <si>
    <t>Flatter wetlands are more likely than steep ones to slow runoff, facilitating more deposition of suspended matter and the phosphorus that is associated with it. Ground cover becomes more important to sediment stabilization in wetlands on slopes.</t>
  </si>
  <si>
    <t>Narrow outlets limit water outflow from a wetland and its downstream or downslope movement, thus causing water to back up into the wetland, which allows more time for sediments to be deposited and phosphorus to be processed. The types of outlets described here are ones that typically are more constricted than natural channels, which usually have adjusted over time to local runoff and thus are wider relative to volume of flow received. A restricting outlet in wetlands can reduce export of phosphorus (Amatya et al. 2003).</t>
  </si>
  <si>
    <t xml:space="preserve">Flowers from forbs provide the most opportunities for a diverse array of pollinator species, but some graminoids (e.g., native bunchgrasses) are used as well. </t>
  </si>
  <si>
    <t>Although not all invasive upland plants are capable of establishing sustained populations in wetlands, many can. When they do they reduce plant diversity.</t>
  </si>
  <si>
    <t>Soil temperatures are warmer for longer on south-facing slopes, and this is essential for denitrification which removes soluble N (Kim et al. 2007). However, those soils should not be dried out to less than 70% saturation by those warmer conditions (Hefting et al. 2006).</t>
  </si>
  <si>
    <t>Leaves of nitrogen-fixing plants such as alder have been shown to support higher densities and richness of aquatic and terrestrial invertebrates (Wipfli 2007, Wipfli &amp; Musselwhite 2004, Hernandez et al. 2005, LeSage et al. 2005). From that, it can be inferred that fish production should be higher in alder wetlands as well, where food is limiting fish survival.</t>
  </si>
  <si>
    <t xml:space="preserve">Obviously, a wetland containing toxic substances has much less capacity to support anadromous fish. Resident fish are especially prone to bioaccumulation of locally-sourced metals (e.g., Deniseger et al. 1990). </t>
  </si>
  <si>
    <t>Individuals belonging to species that are on the margins of their geographic range at this location tend to be more sensitive to some types of environmental disturbances.</t>
  </si>
  <si>
    <t>OwnerSS</t>
  </si>
  <si>
    <t>Humans visiting wetlands commonly bring dogs, which potentially harass waterbirds, and human presence can attract crows and ravens, which prey on nests. Even the simple presence of people on foot and without dogs will cause many waterbirds to take flight. Repeated intrusions that drain the energy of waterbirds are especially damaging during the period when adult birds are searching for food to feed their young.</t>
  </si>
  <si>
    <t>Species - Area</t>
  </si>
  <si>
    <t>Competition/ Light</t>
  </si>
  <si>
    <t>Hydro Regime</t>
  </si>
  <si>
    <t xml:space="preserve">In herbaceous wetlands, the type of adjoining upland cover is very important to many nesting waterbird species. Most upland-nesting waterfowl nest within about 1000 ft of wetlands. Maintaining mostly non-woody but natural vegetation in such areas makes it difficult for predators to find nests. </t>
  </si>
  <si>
    <t>Pollen Onsite</t>
  </si>
  <si>
    <t>Toxics13</t>
  </si>
  <si>
    <t>Summary Ratings for Grouped Functions:</t>
  </si>
  <si>
    <t>OF1</t>
  </si>
  <si>
    <t>OF2</t>
  </si>
  <si>
    <t>OF3</t>
  </si>
  <si>
    <t>OF4</t>
  </si>
  <si>
    <t>OF5</t>
  </si>
  <si>
    <t>OF6</t>
  </si>
  <si>
    <t>OF7</t>
  </si>
  <si>
    <t>OF8</t>
  </si>
  <si>
    <t>OF9</t>
  </si>
  <si>
    <t>OF10</t>
  </si>
  <si>
    <t>OF11</t>
  </si>
  <si>
    <t>OF12</t>
  </si>
  <si>
    <t>OF13</t>
  </si>
  <si>
    <t>OF14</t>
  </si>
  <si>
    <t>OF15</t>
  </si>
  <si>
    <t>OF16</t>
  </si>
  <si>
    <t>OF17</t>
  </si>
  <si>
    <t>OF19</t>
  </si>
  <si>
    <t>OF22</t>
  </si>
  <si>
    <t>OF26</t>
  </si>
  <si>
    <t>OF28</t>
  </si>
  <si>
    <t>OF29</t>
  </si>
  <si>
    <t>OF30</t>
  </si>
  <si>
    <t>OF31</t>
  </si>
  <si>
    <t>OF32</t>
  </si>
  <si>
    <t>OF33</t>
  </si>
  <si>
    <t>OF34</t>
  </si>
  <si>
    <t>OF35</t>
  </si>
  <si>
    <t>OF37</t>
  </si>
  <si>
    <t>OF38</t>
  </si>
  <si>
    <t>OF21</t>
  </si>
  <si>
    <t>OF23</t>
  </si>
  <si>
    <t>Impervious areas do not contribute many terrestrial insects to aquatic food chains, may reduce aquatic productivity due to high turbidity and sedimentation of spawning areas, and can raise stream temperatures to levels harmful to anadromous fish.</t>
  </si>
  <si>
    <t>Fringe Wetland</t>
  </si>
  <si>
    <t>Lacustrine Wetland</t>
  </si>
  <si>
    <t xml:space="preserve">Sites that remain continually moist (saturated) but not flooded may be more likely to retain phosphorus (Aldous et al. 2007). </t>
  </si>
  <si>
    <t>Wetlands that are never inundated cannot support anadromous fish directly.</t>
  </si>
  <si>
    <t>SatPct9</t>
  </si>
  <si>
    <t>SatPct8</t>
  </si>
  <si>
    <t>SatPct11</t>
  </si>
  <si>
    <t>SatPct12</t>
  </si>
  <si>
    <t>SatPct14</t>
  </si>
  <si>
    <t>SatPct13</t>
  </si>
  <si>
    <t>SatPct15</t>
  </si>
  <si>
    <t>SatPct7</t>
  </si>
  <si>
    <t>When water remains entirely belowground, water temperatures in summer remain cooler than if exposed aboveground.</t>
  </si>
  <si>
    <t>Denitrification processes occur when anaerobic conditions occur, which are more likely when surface water is present and blocks gas exchange. Shallow inundation tends to decrease emissions of nitrous oxide (Zaman et al. 2007, Song et al. 2008) .</t>
  </si>
  <si>
    <t>Used as a classifier. Wetlands that are never inundated cannot support resident fish.</t>
  </si>
  <si>
    <t>SatPct10</t>
  </si>
  <si>
    <t>Leaves of nitrogen-fixing plants such as alder have been shown to support higher densities and richness of aquatic and terrestrial invertebrates (Wipfli et al. 2007, Wipfli &amp; Musselwhite 2004, Hernandez et al. 2005, LeSage et al. 2005).</t>
  </si>
  <si>
    <t xml:space="preserve">Macroinvertebrate and fish community composition is impacted beginning at about 5% impervious surface, a number that varies depending on the proportion of agricultural land as well (Waite et al. 2008). Comparing data from multiple regions, Utz et al. (2009) reported that aquatic invertebrates sensitive to impervious cover were generally lost when impervious cover was in the range of 3% (most sensitive taxa) to 23%. </t>
  </si>
  <si>
    <t>Literature Cited</t>
  </si>
  <si>
    <t>Arnold, C. L. and C. J. Gibbons. 1996. Impervious surface coverage: The emergence of a key environmental indicator. Journal of the American Planning Association 62:243-258.</t>
  </si>
  <si>
    <t>Detenbeck, N., C. Elonen, D. Taylor, A. Cotter, F. Puglisi, and W. Sanville. 2002. Effects of agricultural activities and best management practices on water quality of seasonal prairie pothole wetlands. Wetlands Ecology and Management 10:335-354.</t>
  </si>
  <si>
    <t>Leopold, L. B. 1968. Hydrology for Urban Land Planning—A Guidebook on the Hydrologic Effects of Urban Land Use. United States Department of the Interior, U.S. Geological Survey, Circular 554, Washington, DC.</t>
  </si>
  <si>
    <t>Quinton, W. L. and N. T. Roulet. 1998. Spring and summer runoff hydrology of a subarctic patterned wetland. Arctic and Alpine Research 30:285-294.</t>
  </si>
  <si>
    <t>Roulet, N. T. and M. K. Woo. 1988. Run-off generation in a low arctic drainage-basin. Journal of Hydrology 101:213-226.</t>
  </si>
  <si>
    <t>Spence, C., X. J. Guan, and R. Phillips. 2011. The hydrological functions of a boreal wetland. Wetlands 31:75-85.</t>
  </si>
  <si>
    <t>Waite, T. A. and L. G. Campbell. 2006. Controlling the false discovery rate and increasing statistical power in ecological studies. Ecoscience 13:439-442.</t>
  </si>
  <si>
    <t>Emili, L. A. and J. S. Price. 2006. Hydrological processes controlling ground and surface water flow from a hypermaritime forest–peatland complex, Diana Lake Provincial Park, British Columbia, Canada. Hydrological Processes 20:2819-2837.</t>
  </si>
  <si>
    <t>Siegel, D. I. 1988. The Recharge‐Discharge Function of Wetlands Near Juneau, Alaska: Part II. Geochemical Investigations. Ground Water 26:580-586.</t>
  </si>
  <si>
    <t>Brosofske, K. D., J. Chen, R. J. Naiman, and J. F. Franklin. 1997. Harvesting effects on microclimatic gradients from small streams to uplands in western Washington. Ecological Applications 7:1188-1200.</t>
  </si>
  <si>
    <t>Gomi, T., R. D. Moore, and A. S. Dhakal. 2006. Headwater stream temperature response to clear-cut harvesting with different riparian treatments, coastal British Columbia, Canada. Water Resources Research 42:WO8437.</t>
  </si>
  <si>
    <t>Meleason, M. A. and J. M. Quinn. 2004. Influence of riparian buffer width on air temperature at Whangapoua Forest, Coromandel Peninsula, New Zealand. Forest Ecology and Management 191:365-371.</t>
  </si>
  <si>
    <t>Mellina, E., R. D. Moore, S. G. Hinch, J. S. Macdonald, and G. Pearson. 2002. Stream temperature responses to clearcut logging in British Columbia: the moderating influences of groundwater and headwater lakes. Canadian Journal of Fisheries and Aquatic Sciences 59:1886-1900.</t>
  </si>
  <si>
    <t>Nelitz, M. A., E. A. MacIsaac, and R. M. Peterman. 2007. A science-based approach for identifying temperature-sensitive streams for rainbow trout. North American Journal of Fisheries Management 27:405-424.</t>
  </si>
  <si>
    <t>Reinelt, L. E. and R. R. Horner. 1990. Characterization of the Hydrology and Water Quality of Palustrine Wetlands Affected by Urban Stormwater. King County Resource Planning Section, Seattle, WA.</t>
  </si>
  <si>
    <t>Sridhar, V., A. L. Sansone, J. LaMarche, T. Dubin, and D. P. Lettenmaier. 2004. Prediction of stream temperature in forested watersheds. Journal of the American Water Resources Association 40:197-213.</t>
  </si>
  <si>
    <t>Stephenson, J. M. and A. Morin. 2009. Covariation of stream community structure and biomass of algae, invertebrates and fish with forest cover at multiple spatial scales. Freshwater Biology 54:2139-2154.</t>
  </si>
  <si>
    <t>Alberti, M., D. Booth, K. Hill, B. Coburn, C. Avolio, S. Coe, and D. Spirandelli. 2007. The impact of urban patterns on aquatic ecosystems: An empirical analysis in Puget lowland sub-basins. Landscape and Urban Planning 80:345-361.</t>
  </si>
  <si>
    <t>Amatya, D. M., R. W. Skaggs, J. W. Gilliam, and J. H. Hughes. 2003. Effects of orifice-weir outlet on hydrology and water quality of a drained forested watershed. Southern Journal of Applied Forestry 27:130-142.</t>
  </si>
  <si>
    <t>Dillaha, T. A., J. H. Sherrard, D. Lee, S. Mostaghimi, and V. O. Shanholtz. 1988. Evaluation of vegetative filter strips as a best management practice for feed lots. Journal Water Pollution Control Federation 60:1231-1238.</t>
  </si>
  <si>
    <t>Dillaha, T. A., R. B. Reneau, S. Mostaghimi, and D. Lee. 1989. Vegetative filter strips for agricultural nonpoint source pollution-control. Transactions of the  ASAE 32:513-519.</t>
  </si>
  <si>
    <t>Evans, R. D. and F. H. Rigler. 1983. A test of lead-210 dating for the measurement of whole lake soft sediment accumulation. Canadian Journal of Fisheries and Aquatic Sciences 40:506-515.</t>
  </si>
  <si>
    <t>Gomi, T. and R. C. Sidle. 2003. Bed load transport in managed steep-gradient headwater streams of southeastern Alaska. Water Resources Research 39:1336-1350.</t>
  </si>
  <si>
    <t>Heinemann, H. G. 1981. A new sediment trap efficency curve for small reservoirs Water Resources Bulletin 17:825-830.</t>
  </si>
  <si>
    <t>Hogan, D. M. and M. R. Walbridge. 2007. Urbanization and nutrient retention in freshwater riparian wetlands. Ecological Applications 17:1142-1155.</t>
  </si>
  <si>
    <t>Knutson, P., J. Ford, M. Inskeep, and J. Oyler. 1981. National survey of planted salt marshes (Vegetative stabilization and wave stress). Wetlands 1:129-157.</t>
  </si>
  <si>
    <t>McBride, M. and D. B. Booth. 2005. Urban impacts on physical stream condition: Effects of spatial scale, connectivity, and longitudinal trends. Journal of the American Water Resources Association 41:565-580.</t>
  </si>
  <si>
    <t>Morris, A. W., A. J. Bale, and R. J. M. Howland. 1981. Nutrient distributions in an estuary - evidence of chemical precipitation of dissolved silicate and phosphate. Estuarine Coastal and Shelf Science 12:205-216.</t>
  </si>
  <si>
    <t>Nieswand, G. H., R. M. Hordon, T. B. Shelton, B. B. Chavooshian, and S. Blarr. 1990. Buffer strips to protect water-supply reservoirs - A model and recommendations. Water Resources Bulletin 26:959-966.</t>
  </si>
  <si>
    <t>Nolan, K. M. and D. C. Marron. 1985. Contrast in stream-channel response to major storms in two mountainous areas of California. Geology 13:135-138.</t>
  </si>
  <si>
    <t>Phillips, J. D. 1989. An evaluation of the factors determining the effectiveness of water quality buffer zones. Journal of Hydrology 107:133-145.</t>
  </si>
  <si>
    <t>Polyakov, V., A. Fares, and M. H. Ryder. 2005. Precision riparian buffers for the control of nonpoint source pollutant loading into surface water: A review. Environmental Reviews 13:129-144.</t>
  </si>
  <si>
    <t>Trimble, G. R., Jr. and R. S. Sartz. 1957. How far from a stream should a logging road be located? Journal of Forestry 55:339-341.</t>
  </si>
  <si>
    <t>White, W. J., L. A. Morris, D. B. Warnell, A. P. Pinho, C. R. Jackson, and L. T. West. 2007. Sediment retention by forested filter strips in the Piedmont of Georgia. Journal of Soil and Water Conservation 62:453-463.</t>
  </si>
  <si>
    <t>Wigington, P. J., T. J. Moser, and D. R. Lindeman. 2005. Stream network expansion: a riparian water quality factor. Hydrological Processes 19:1715-1721.</t>
  </si>
  <si>
    <t>Zhang, X., X. Liu, M. Zhang, R. A. Dahlgren, and M. Eitzel. 2010. A review of vegetated buffers and a meta-analysis of their mitigation efficacy in reducing nonpoint source pollution. Journal of Environmental Quality 39:76-84.</t>
  </si>
  <si>
    <t>Aldous, A., P. McCormick, C. Ferguson, S. Graham, and C. Craft. 2005. Hydrologic regime controls soil phosphorus fluxes in restoration and undisturbed wetlands. Restoration Ecology 13:341-347.</t>
  </si>
  <si>
    <t>Aldous, A. R., C. B. Craft, C. J. Stevens, M. J. Barry, and L. B. Bach. 2007. Soil phosphorus release from a restoration wetland, Upper Klamath Lake, Oregon. Wetlands 27:1025-1035.</t>
  </si>
  <si>
    <t>Burley, K. L., E. E. Prepas, and P. A. Chambers. 2001. Phosphorus release from sediments in hardwater eutrophic lakes: the effects of redox-sensitive and -insensitive chemical treatments. Freshwater Biology 46:1061-1074.</t>
  </si>
  <si>
    <t>Diebel, M. W., J. T. Maxted, D. M. Robertson, S. Han, Z. Vander, and M. Jake. 2009. Landscape planning for agricultural nonpoint source pollution reduction III: assessing phosphorus and sediment reduction potential. Environmental Management 43:69-83.</t>
  </si>
  <si>
    <t>Feller, M. 2005. Forest harvesting and streamwater inorganic chemistry in western North America: a review. Journal of the American Water Resources Association 41:785-811.</t>
  </si>
  <si>
    <t>Hoffmann, C. C., C. Kjaergaard, J. Uusi-Kamppa, H. C. B. Hansen, and B. Kronvang. 2009. Phosphorus retention in riparian buffers: Review of their efficiency. Journal of Environmental Quality 38:1942-1955.</t>
  </si>
  <si>
    <t>Knox, A. K., R. A. Dahgren, K. W. Tate, and E. R. Atwill. 2008. Efficacy of natural wetlands to retain nutrient, sediment and microbial pollutants. Journal of Environmental Quality 37:1837-1846.</t>
  </si>
  <si>
    <t>Prepas, E. E., B. Pinel-Alloul, D. Planas, G. Méthot, S. Paquet, and S. Reedyk. 2001. Forest harvest impacts on water quality and aquatic biota on the Boreal Plain: Introduction to the TROLS lake program. Canadian Journal of Fisheries and Aquatic Sciences 58:421-436.</t>
  </si>
  <si>
    <t>Prescott, C. E., L. Vesterdal, J. Pratt, K. H. Venner, L. M. de Montigny, and J. A. Trofymow. 2000. Nutrient concentrations and nitrogen mineralization in forest floors of single species conifer plantations in coastal British Columbia. Canadian Journal of Forest Research 30:1341-1352.</t>
  </si>
  <si>
    <t>Roberts, M. L. and R. E. Bilby. 2009. Urbanization alters litterfall rates and nutrient inputs to small Puget lowland streams. Journal of the North American Benthological Society 28:941-954.</t>
  </si>
  <si>
    <t>Roberts, A. and S. Prince. 2010. Effects of urban and non-urban land cover on nitrogen and phosphorus runoff to Chesapeake Bay. Ecological Indicators 10:459-474.</t>
  </si>
  <si>
    <t>Snyder, D. T. and J. L. Morace. 1997. Nitrogen and Phosphorus Loading from Drained Wetlands Adjacent to Upper Klamath and Agency Lakes, Oregon. US Geological Survey Water Resources Investigations Report 97-4059. US Geological Survey, Fort Collins, CO.</t>
  </si>
  <si>
    <t>Banner, A., P. LePage, J. Moran, and A. de Groot. 2005. Pattern, Process, and Productivity in Hypermaritime Forests of Coastal British Columbia– a synthesis of 7-year results. B.C. Ministry of Forests, Resources Branch, Victoria, B.C.</t>
  </si>
  <si>
    <t>Bayley, S. E. and R. L. Mewhort. 2004. Plant community structure and junctional differences between marshes and fens in the southern boreal region of Alberta, Canada. Wetlands 24:277-294.</t>
  </si>
  <si>
    <t>Berendse, F., N. Van Breemen, H. Rydin, A. Buttler, M. Heijmans, M. Hoosbeek, J. A. H. Lee, E. Mitchell, T. Saarinen, H. Vasander, and B. Wallén. 2001. Raised atmospheric CO2 levels and increased N deposition cause shifts in plant species composition and production in Sphagnum bogs. Global Change Biology 7.</t>
  </si>
  <si>
    <t>Bragazza, L., T. Tahvanainen, L. Kutnar, H. Rydin, J. Limpens, M. Hájek, P. Grosvernier, T. Hájek, P. Hajkova, I. Hansen, P. Iacumin, and R. Gerdol. 2004. Nutritional constraints in ombrotrophic Sphagnum plants under increasing atmospheric nitrogen deposition in Europe. New Phytologist 163.</t>
  </si>
  <si>
    <t>Cortini, F. and P. G. Comeau. 2008. Effects of red alder and paper birch competition on juvenile growth of three conifer species in southwestern British Columbia. Forest Ecology and Management 256:1795-1803.</t>
  </si>
  <si>
    <t>Dosskey, M. G. 2001. Toward quantifying water pollution abatement in response to installing buffers on crop land. Environmental Management 28:577-598.</t>
  </si>
  <si>
    <t>Fellman, J. B. and D. V. D'Amore. 2007. Nitrogen and phosphorus mineralization in three wetland types in Southeast Alaska, USA. Wetlands 27:44-53.</t>
  </si>
  <si>
    <t>Gunderson, L. H., S. R. Carpenter, C. Folke, P. Olsson, and G. D. Peterson. 2006. Water RATs (resilience, adaptability, and transformability) in lake and wetland social-ecological systems. Ecology and Society 11:16.</t>
  </si>
  <si>
    <t>Hefting, M., B. Beltman, D. Karssenberg, K. Rebel, M. van Riessen, and M. Spijker. 2006. Water quality dynamics and hydrology in nitrate loaded riparian zones in the Netherlands. Environmental Pollution 139:143-156.</t>
  </si>
  <si>
    <t>Heijmans, M. M. P. D., H. Klees, W. de Visser, and F. Berendse. 2002. Response of a Sphagnum bog plant community to elevated CO2 and N supply. Plant Ecology 162:123-134.</t>
  </si>
  <si>
    <t>Hunt, P. G., T. A. Matheny, and K. S. Ro. 2007. Nitrous oxide accumulation in soils from riparian buffers of a coastal plain watershed-carbon/nitrogen ratio control. Journal of Environmental Quality 36:1368-1376.</t>
  </si>
  <si>
    <t>Kim, I. J., S. L. Hutchinson, J. M. S. Hutchinson, and C. B. Young. 2007. Riparian ecosystem management model: sensitivity to soil, vegetation, and weather input parameters. Journal of the American Water Resources Association 43:1171-1182.</t>
  </si>
  <si>
    <t>Kroeger, K. D. and M. A. Charette. 2008. Nitrogen biogeochemistry of submarine groundwater discharge. Limnology and Oceanography 53:1025-1079.</t>
  </si>
  <si>
    <t>Lertzman, K. P., G. D. Sutherland, A. Inselberg, and S. C. Saunders. 1996. Canopy gaps and the landscape mosaic in a coastal temperate rain forest. Ecology 77:1254-1270.</t>
  </si>
  <si>
    <t>Li, Y. and D. H. Vitt. 1997. Patterns of retention and utilization of aerially deposited nitrogen in boreal peatlands. Ecoscience. Sainte-Foy 4:106-116.</t>
  </si>
  <si>
    <t>Madden, S. S., G. R. Robinson, and J. G. Arnason. 2007. Spatial variation in stream water quality in relation to riparian buffer dimensions in a rural watershed of eastern New York state. Northeastern Naturalist 14:605-618.</t>
  </si>
  <si>
    <t>Mayer, P. M., S. K. Reynolds, Jr., M. D. McCutchen, and T. J. Canfield. 2007. Meta-analysis of nitrogen removal in riparian buffers. Journal of Environmental Quality 36:1172-1180.</t>
  </si>
  <si>
    <t>Pinay, G., T. O'Keefe, R. Edwards, and R. J. Naiman. 2003. Potential denitrification activity in the landscape of a western Alaska drainage basin. Ecosystems 6:336-343.</t>
  </si>
  <si>
    <t>Sanborn, P. T., C. M. Preston, and R. Brockley. 2002. N-2-fixation by Sitka alder in a young lodgepole pine stand in central interior British Columbia, Canada. Forest Ecology and Management 167:223-231.</t>
  </si>
  <si>
    <t>Shaffer, P. W. and T. L. Ernst. 1999. Distribution of soil organic matter in freshwater emergent/open water wetlands in the Portland, Oregon metropolitan area. Wetlands 19:505-516.</t>
  </si>
  <si>
    <t>Shrestha, R. R., A. J. Berland, M. A. Schnorbus, and A. T. Werner. 2011. Climate Change Impacts on Hydro-Climatic Regimes in the Peace and Columbia Watersheds, British Columbia, Canada. Pacific Climate Impacts Consortium. University of Victoria, Victoria, BC.</t>
  </si>
  <si>
    <t>Song, K., D. Liu, Z. Wang, B. Zhang, C. Jin, F. Li, and H. Liu. 2008. Land use change in Sanjiang Plain and its driving forces analysis since 1954. ACTA Georaphica Sinica-Chinese Edition 63:93.</t>
  </si>
  <si>
    <t>Van Hoewyk, D., P. M. Groffman, E. Kiviat, G. Mihocko, and G. Stevens. 2000. Soil nitrogen dynamics in organic and mineral soil calcareous wetlands in eastern New York. Soil Science Society of America Journal 64: 2168–2173.</t>
  </si>
  <si>
    <t>Wigington, P. J., S. M. Griffith, J. A. Field, J. E. Baham, W. R. Horwath, J. Owen, J. H. Davis, S. C. Rain, and J. J. Steiner. 2003. Nitrate removal effectiveness of a riparian buffer along a small agricultural stream in western Oregon. Journal of Environmental Quality 32:162-170.</t>
  </si>
  <si>
    <t>Zaman, M., M. L. Nguyen, F. Matheson, J. D. Blennerhassett, and B. F. Quin. 2007. Can soil amendments (zeolite or lime) shift the balance between nitrous oxide and dinitrogen emissions from pasture and wetland soils receiving urine or urea-N? Australian Journal of Soil Research 45:543-553.</t>
  </si>
  <si>
    <t>Altor, A. and W. Mitsch. 2008. Pulsing hydrology, methane emissions and carbon dioxide fluxes in created marshes: A 2-year ecosystem study. Wetlands 28:423-438.</t>
  </si>
  <si>
    <t>Belyea, L. R. and N. Malmer. 2004. Carbon sequestration in peatland: patterns and mechanisms of response to climate change. Global Change Biology 10:1043-1052.</t>
  </si>
  <si>
    <t>Blanco-Canqui, H. and R. Lal. 2004. Mechanisms of Carbon Sequestration in Soil Aggregates. Critical Reviews in Plant Sciences 23:481-504.</t>
  </si>
  <si>
    <t>Blodau, C., B. Mayer, S. Peiffer, and T. R. Moore. 2007. Support for an anaerobic sulfur cycle in two Canadian peatland soils. Journal of Geophysical Research: Biogeosciences 112:G02004.</t>
  </si>
  <si>
    <t>Bridgham, S. D. and C. J. Richardson. 2003. Endogenous versus exogenous nutrient control over decomposition and mineralization in North Carolina peatlands. Biogeochemistry 65:151-178.</t>
  </si>
  <si>
    <t>Cheng, W., K. Yagi, H. Akiyama, S. Nishimura, S. Sudo, T. Fumoto, T. Hasegawa, A. E. Hartley, and J. P. Megonigal. 2007. An empirical model of soil chemical properties that regulate methane production in Japanese rice paddy soils. Journal of Environmental Quality 36:1920-1925.</t>
  </si>
  <si>
    <t>Collins, M. E. and R. J. Kuehl. 2001. Organic matter accumulation and organic soils in wetland soils genesis, hydrology, landscapes, and classification. Pages 137- 159 in J. L. Richardson and M. J. Vepraskas, editors. Wetland Soils: Genesis, Hydrology, Landscape, and Classification. Lewis Publishers, Boca Raton, FL.</t>
  </si>
  <si>
    <t>D'Amore, D. V., J. B. Fellman, R. T. Edwards, and E. Hood. 2010. Controls on dissolved organic matter concentrations in soils and streams from a forested wetland and sloping bog in southeast Alaska. Ecohydrology 3:249-261.</t>
  </si>
  <si>
    <t>den Ouden, J. and P. Alaback. 1996. Successional trends and biomass of mosses on windthrow mounds in the temperate rainforests of Southeast Alaska. Vegetatio 124:115-128.</t>
  </si>
  <si>
    <t>Edwards, G. C., G. M. Dias, G. W. Thurtell, G. E. Kidd, N. T. Roulet, C. A. Kelly, J. W. M. Rudd, A. Moore, and L. Halfpenny-Mitchell. 2001. Methane fluxes from a wetland using the flux-gradient technique; the measurement of methane flux from a natural wetland pond and adjacent vegetated wetlands using a TDL-based flux-gradient technique. Water, Air and Soil Pollution: Focus 1:447-454.</t>
  </si>
  <si>
    <t>Fennessy, M. S., A. Rokosch, and J. J. Mack. 2008. Patterns of plant decomposition and nutrient cycling in natural and created wetlands. Wetlands 28:300-310.</t>
  </si>
  <si>
    <t>Gauci, V., D. J. G. Gowing, E. R. C. Hornibrook, J. M. Davis, and N. B. Dise. 2010. Woody stem methane emission in mature wetland alder trees. Atmospheric Environment 44:2157-2160.</t>
  </si>
  <si>
    <t>Glatzel, S., N. Basiliko, and T. Moore. 2004. Carbon dioxide and methane production potentials of peats from natural, harvested, and restored sites, eastern Quebec, Canada. Wetlands 24:261-267.</t>
  </si>
  <si>
    <t>Glenn, A. J., L. B. Flanagan, K. H. Syed, and P. J. Carlson. 2006. Comparison of net ecosystem CO2 exchange in two peatlands in western Canada with contrasting dominant vegetation, Sphagnum and Carex. Agricultural and Forest Meteorology 140:115-135.</t>
  </si>
  <si>
    <t>Green, S. M. and A. J. Baird. 2012. A mesocosm study of the role of the sedge Eriophorum angustifolium in the efflux of methane-including that due to episodic ebullition-from peatlands. Plant and Soil 351:207-218.</t>
  </si>
  <si>
    <t>Gunnarsson, U. 2005. Global patterns of Sphagnum productivity. Journal of Bryology 27:269-279.</t>
  </si>
  <si>
    <t>Hines, M. E., K. N. Duddleston, and J. P. Chanton. 2006. Uncoupling of the pathway of methanogenesis in northern wetlands: connection to vegetation, and implications for variability and predictability. American Geophysical Union URL:http://www.agu.org.</t>
  </si>
  <si>
    <t>Hines, M. E., K. N. Duddleston, J. N. Rooney-Varga, D. Fields, and J. P. Chanton. 2008. Uncoupling of acetate degradation from methane formation in Alaskan wetlands: Connections to vegetation distribution. Global Biogeochemical Cycles 22:GB2017.</t>
  </si>
  <si>
    <t>Hossler, K. and V. Bouchard. 2010. Soil development and establishment of carbon-based properties in created freshwater marshes. Ecological Applications 20:539-553.</t>
  </si>
  <si>
    <t>Keller, J. K., J. R. White, S. D. Bridgham, and J. Pastor. 2004. Climate change effects on carbon and nitrogen mineralization in peatlands through changes in soil quality. Global Change Biology 10:1053-1064.</t>
  </si>
  <si>
    <t>Kelly, C. A., J. W. M. Rudd, R. A. Bodaly, N. P. Roulet, V. L. St. Louis, A. Heyes, T. R. Moore, S. Schiff, R. Aravena, K. J. Scott, B. Dyck, R. Harris, B. Warner, and G. Edwards. 1997. Increases in fluxes of greenhouse gases and methyl mercury following flooding of an experimental reservoir. Environmental Science and Technology 31:1334-1344.</t>
  </si>
  <si>
    <t>Law, C. 2008. Predicting and monitoring the effects of large-scale ocean iron fertilization on marine trace gas emissions. Marine Ecology Progress Series 364.</t>
  </si>
  <si>
    <t>Li, C., J. B. Cui, S. Ge, and C. Trettin. 2004. Modeling impacts of management on carbon sequestration and trace gas emissions in forested wetland ecosystems. Journal of Environmental Management 33:S176–S186.</t>
  </si>
  <si>
    <t>Liblik, L. K., T. R. Moore, J. L. Bubier, and S. D. Robinson. 1997. Methane emissions from wetlands in the zone of discontinuous permafrost: Fort Simpson, Northwest Territories, Canada. Global Biogeochemical Cycles 11:485-494.</t>
  </si>
  <si>
    <t>Magenheimer, J. F., T. R. Moore, G. L. Chmura, and R. J. Daoust. 1996. Methane and carbon dioxide flux from a macrotidal salt marsh, Bay of Fundy, New Brunswick. Estuaries 19:139-145.</t>
  </si>
  <si>
    <t>Mitsch, W. J., L. Zhang, C. J. Anderson, A. E. Altor, and M. E. Hernandez. 2005. Creating riverine wetlands: Ecological succession, nutrient retention, and pulsing effects. Ecological Engineering 25:510-527.</t>
  </si>
  <si>
    <t>Moosavi, N. H. and M. Chehrazi. 1994. Post emergence control of winter wild oat (Avena ludoviciana DUR) and littleseed cannarygrass (Phalaris minor Retz.) in wheat (Triticum aestivum L. "Arvand"). The Scientific Journal of Agriculture 17.</t>
  </si>
  <si>
    <t>Moosavi, S. C., P. M. Crill, E. R. Pullman, D. W. Funk, and K. M. Peterson. 1996. Controls on CH4 flux from an Alaskan boreal wetland. Global Biogeochemical Cycles 10:287-296.</t>
  </si>
  <si>
    <t>Pelletier, L., T. R. Moore, N. T. Roulet, M. Garneau, and V. Beaulieu-Audy. 2007. Methane fluxes from three peatlands in the La Grande Riviere watershed, James Bay lowland, Canada. Journal of Geophysical Research-Biogeosciences 112:G01018.</t>
  </si>
  <si>
    <t>Price, J. S., A. L. Heathwaite, and A. J. Baird. 2003. Hydrological processes in abandoned and restored peatlands: An overview of management approaches. Wetlands Ecology and Management 11:65-83.</t>
  </si>
  <si>
    <t>Rose, C. and W. G. Crumpton. 2006. Spatial patterns in dissolved oxygen and methane concentrations in a prairie pothole wetland in Iowa, USA. Wetlands 26:1020-1025.</t>
  </si>
  <si>
    <t>Rumburg, C. B. and W. A. Sawyer. 1965. Response of wet-meadow vegetation to length and depth of surface water from wild-flood irrigation. Agronomy Journal 57:245–247.</t>
  </si>
  <si>
    <t>Ryan, M. G. and B. E. Law. 2005. Interpreting, measuring, and modeling soil respiration. Biogeochemistry 73:3-27.</t>
  </si>
  <si>
    <t>Smemo, K. A. and J. B. Yavitt. 2006. A multi-year perspective on methane cycling in a shallow peat fen in central New York State, USA. Wetlands 26:20-29.</t>
  </si>
  <si>
    <t>Smialek, J., V. Bouchard, B. Lippmann, M. Quigley, T. Granata, J. Martin, and L. Brown. 2006. Effect of a woody (Salix nigra) and an herbaceous (Juncus effusus) macrophyte species on methane dynamics and denitrification. Wetlands 26:509-517.</t>
  </si>
  <si>
    <t>Smith, L. K., W. M. Lewis, J. P. Chanton, G. Cronin, and S. K. Hamilton. 2000. Methane emissions from the Orinoco River floodplain, Venezuela. Biogeochemistry 51:113-140.</t>
  </si>
  <si>
    <t>Strack, M., M. F. Waller, and J. M. Waddington. 2006. Sedge succession and peatland methane dynamics: A potential feedback to climate change. Ecosystems 9:278-287.</t>
  </si>
  <si>
    <t>Tauchnitz, N., R. Brumme, S. Bernsdorf, and R. Meissner. 2008. Nitrous oxide and methane fluxes of a pristine slope mire in the German National Park Harz Mountains. Plant and Soil 303:131-138.</t>
  </si>
  <si>
    <t>Thormann, M. N. and S. E. Bayley. 1997. Response of aboveground net primary plant production to nitrogen and phosphorus fertilization in peatlands in southern boreal Alberta, Canada. Wetlands 17:502-512.</t>
  </si>
  <si>
    <t>Tranvik, L. J., J. A. Downing, J. B. Cotner, S. A. Loiselle, R. G. Striegl, T. J. Ballatore, P. Dillon, K. Finlay, K. Fortino, L. B. Knoll, P. L. Kortelainen, T. Kutser, S. Larsen, I. Laurion, D. M. Leech, S. L. McCallister, D. M. McKnight, J. M. Melack, E. Overholt, J. A. Porter, Y. Prairie, W. H. Renwick, F. Roland, B. S. Sherman, D. W. Schindler, S. Sobek, A. Tremblay, M. J. Vanni, A. M. Verschoor, E. von Wachenfeldt, and G. A. Weyhenmeyer. 2009. Lakes and reservoirs as regulators of carbon cycling and climate. Limnology and Oceanography 54:2298-2314.</t>
  </si>
  <si>
    <t>Tuittila, E. S., V. M. Komulainen, H. Vasander, H. Nykanen, P. J. Martikainen, and J. Laine. 2000. Methane dynamics of a restored cut-away peatland. Global Change Biology 6:569-581.</t>
  </si>
  <si>
    <t>Updegraff, K., J. Pastor, S. D. Bridgham, and C. A. Johnston. 1995. Environmental and substrate controls over carbon and nitrogen mineralization in northern wetlands. Ecological Applications 5:151-163.</t>
  </si>
  <si>
    <t>Valentine, D. W., E. A. Holland, and D. S. Schimel. 1994. Ecosystem and physiological controls over methane production in northern wetlands. Journal of Geophysical Research-Atmospheres 99:1563-1571.</t>
  </si>
  <si>
    <t>Waddington, J. M. and M. R. Turetsky. 2008. Peatland ecohydrology: Water-vegetation-carbon interactions in a changing climate. Geophysical Research Abstracts 10:EGU2008-A-08409.</t>
  </si>
  <si>
    <t>Wardrop, D. H. and R. P. Brooks. 1998. The occurrence and impact of sedimentation in central Pennsylvania wetlands. Environmental Monitoring and Assessment 51:119-130.</t>
  </si>
  <si>
    <t>Westermann, P. and B. K. Ahring. 1987. Dynamics of methane production, sulfate reduction, and denitrification in a permanently waterlogged alder swamp. Applied and Environmental Microbiology 53:2554-2559.</t>
  </si>
  <si>
    <t>White, H. K., C. M. Reddy, and T. I. Eclinton. 2008. Radiocarbon-based assessment of fossil fuel-derived contaminant associations in sediments. Environmental Science &amp; Technology 42:5428-5434.</t>
  </si>
  <si>
    <t>Willey, Z. and B. Chameides. 2008. Harnessing Farms and Forests in the Low-Carbon Economy. How to Create, Measure, and Verify Greenhouse Gas Offsets. Duke University Press, Durham, NC, USA/London, UK.</t>
  </si>
  <si>
    <t>Williams, C. J. and J. B. Yavitt. 2010. Temperate wetland methanogenesis: The importance of vegetation type and root ethanol production. Soil Science Society of America Journal 74:317-325.</t>
  </si>
  <si>
    <t>Alsfeld, A. J., J. L. Bowman, and A. Deller-Jacobs. 2009. Effects of woody debris, microtopography, and organic matter amendments on the biotic community of constructed depressional wetlands. Biological Conservation 142:247-255.</t>
  </si>
  <si>
    <t>Fellman, J. B., E. Hood, D. V. D'Amore, R. T. Edwards, and D. White. 2009. Seasonal changes in the chemical quality and biodegradability of dissolved organic matter exported from soils to streams in coastal temperate rainforest watersheds. Biogeochemistry 95:277-293.</t>
  </si>
  <si>
    <t>Fitzgerald, D. F., J. S. Price, and J. J. Gibson. 2003. Hillslope-swamp interactions and flow pathways in a hyper-maritime rainforest, British Columbia. Hydrological Processes 17:3005-3022.</t>
  </si>
  <si>
    <t>Booth, D. B., D. Hartley, and R. Jackson. 2002. Forest cover, impervious-surface area, and the mitigation of storm water impacts. Journal of American Water Resources Association 38:835-845.</t>
  </si>
  <si>
    <t>Brown, T. G. and G. F. Hartman. 1988. Contribution of seasonally flooded lands and minor tributaries to the production of coho salmon in Carnation Creek, British Columbia. Transactions of the American Fisheries Society 117:546-551.</t>
  </si>
  <si>
    <t>Colosimo, M. F. and P. R. Wilcock. 2007. Alluvial sedimentation and erosion in an urbanizing watershed, Gwynns Falls, Maryland. Journal of the American Water Resources Association 43:499–521.</t>
  </si>
  <si>
    <t>Cookson, N. and M. S. Schorr. 2009. Correlations of watershed housing density with environmental conditions and fish assemblages in a Tennessee Ridge and Valley stream. Journal of Freshwater Ecology 24:553-561.</t>
  </si>
  <si>
    <t>Delgado, J., N. Arroyo, J. Arevalo, and J. Fernandez-Palacios. 2007. Edge effects of roads on temperature, light, canopy cover, and canopy height in laurel and pine forests (Tenerife, Canary Islands). Landscape Urban Planning 81:328-340.</t>
  </si>
  <si>
    <t>Fausch, K. D. and T. G. Northcote. 1992. Large woody debris and salmonid habitat in a small coastal British Columbia stream. Canadian Journal of Fisheries and Aquatic Sciences 49: 682-693.</t>
  </si>
  <si>
    <t>Freeman, M. C., C. M. Pringle, and C. R. Jackson. 2007. Hydrologic connectivity and the contribution of stream headwaters to ecological integrity at regional scales. Journal of the American Water Resources Association 43:5-14.</t>
  </si>
  <si>
    <t>Hansen, A. J., R. L. Knight, J. M. Marzluff, S. Powell, K. Brown, P. H. Gude, and K. Jones. 2005. Effects of exurban development on biodiversity: patterns, mechanisms, and research needs. Ecological Applications 15:1893-1905.</t>
  </si>
  <si>
    <t>Henning, J. A., R. E. Gresswell, and I. A. Fleming. 2006. Juvenile salmonid use of freshwater emergent wetlands in the floodplain and its implications for conservation management. North American Journal of Fisheries Management 26:367-376.</t>
  </si>
  <si>
    <t>Henning, J. A., R. E. Gresswell, and I. A. Fleming. 2007. Use of seasonal freshwater wetlands by fishes in a temperate river floodplain. Journal of Fish Biology 71:476-492.</t>
  </si>
  <si>
    <t>Hepinstall, J. A., M. Alberti, and J. M. Marzluff. 2008. Predicting land cover change and avian community responses in rapidly urbanizing environments. Landscape Ecology 23:1257-1276.</t>
  </si>
  <si>
    <t>Hernandez, O., R. W. Merritt, and M. S. Wipfli. 2005. Benthic invertebrate community structure is influenced by forest succession after clearcut logging in southeastern Alaska. Hydrobiologia 533:45-59.</t>
  </si>
  <si>
    <t>Konrad, C. P., D. B. Booth, and S. J. Burges. 2005. Effects of urban development in the Puget Lowland, Washington, on interannual streamflow patterns: Consequences for channel form and streambed disturbance. Water Resources Research 41.</t>
  </si>
  <si>
    <t>LeSage, C. M., R. W. Merritt, and M. S. Wipfli. 2005. Headwater riparian invertebrate communities associated with red alder and conifer wood and leaf litter in southeastern Alaska. Northwest Science 79:218-232.</t>
  </si>
  <si>
    <t>May, C. W., R. R. Horner, J. R. Karr, B. W. Mar, and E. B. Welch. 1997. The Cumulative Effects of Urbanization on Small Streams in the Puget Sound Lowland Ecoregion. University of Washington, Seattle, WA.</t>
  </si>
  <si>
    <t>Miltner, R. J., D. White, and C. Yoder. 2004. The biotic integrity of streams in urban and suburbanizing landscapes. Landscape and Urban Planning 69:87-100.</t>
  </si>
  <si>
    <t>Morgan II, R. P., K. M. Kline, and S. F. Cushman. 2007. Relationships among nutrients, chloride and biological indices in urban Maryland streams. Urban Ecosystems 10:153-166.</t>
  </si>
  <si>
    <t>Roy, A. H., C. L. Faust, M. C. Freeman, and J. L. Meyer. 2005. Reach-scale effects of riparian forest cover on urban stream ecosystems. Canadian Journal of Fisheries and Aquatic Sciences 62:2312-2329.</t>
  </si>
  <si>
    <t>Shandas, V. and M. Alberti. 2009. Exploring the role of vegetation fragmentation on aquatic conditions: Linking upland with riparian areas in Puget Sound lowland streams. Landscape and Urban Planning 90:66-75.</t>
  </si>
  <si>
    <t>Shields, C. A., L. E. Band, N. Law, P. M. Groffman, S. S. Kaushal, K. Savvas, G. T. Fisher, and K. T. Belt. 2008. Streamflow distribution of non–point source nitrogen export from urban-rural catchments in the Chesapeake Bay watershed. Water Resources Research 44:W09416.</t>
  </si>
  <si>
    <t>Walsh, C. J. and J. Kunapo. 2009. The importance of upland flow paths in determining urban effects on stream ecosystems. Journal of the North American Benthological Society 28:977-990.</t>
  </si>
  <si>
    <t>Welsh Jr, H. H. and G. R. Hodgson. 2008. Amphibians as metrics of critical biological thresholds in forested headwater streams of the Pacific Northwest, U.S.A. Freshwater Biology 53:1470-1488.</t>
  </si>
  <si>
    <t>Wipfli, M. S. and J. Musslewhite. 2004. Density of red alder (Alnus rubra) in headwaters influences invertebrate and detritus subsidies to downstream fish habitats in Alaska. Hydrobiologia 520:153-163.</t>
  </si>
  <si>
    <t>Wipfli, M. S. 1997. Terrestrial invertebrates as salmonid prey and nitrogen sources in streams: contrasting old-growth and young-growth riparian forests in southeastern Alaska, USA. Canadian Journal of Fisheries and Aquatic Sciences 54:1259-1269.</t>
  </si>
  <si>
    <t>Wipfli, M. S., J. S. Richardson, and R. J. Naiman. 2007. Ecological linkages between headwaters and downstream ecosystems: Transport of organic matter, invertebrates, and wood down headwater channels. Journal of the American Water Resources Association 43:72-85.</t>
  </si>
  <si>
    <t>Deniseger, J., L. J. Erickson, A. Austin, M. Roch, and M. J. R. Clark. 1990. The effects of decreasing heavy metal concentrations on the biota of Buttle Lake, Vancouver Island, British Columbia. Water Resources Bulletin 24:403-416.</t>
  </si>
  <si>
    <t xml:space="preserve">Wipfli, M. S., J. S. Richardson, and R. J. Naiman. 2007. Ecological linkages between headwaters and downstream ecosystems: Transport of organic matter, invertebrates, and wood down headwater channels. Journal of the American Water Resources Association 43:72-85. </t>
  </si>
  <si>
    <t>Yoder, C. O., R. J. Miltner, and D. White. 1999. Assessing the Status of Aquatic Life Designated Uses in Urban and Suburban Watersheds. . Pages 16-28 in A. Everson et al., editor. Proceedings of National Conference on Retrofit Opportunities for Water Resource Protection in Urban Environments. Chicago, IL February 9-12, 1998. Technology Transfer and Support Division, National Risk Management Research Laboratory, Office of Research and Development, U.S. Environmental Protection Agency, Cincinnati, Ohio.</t>
  </si>
  <si>
    <t>Baxter, C. V., K. D. Fausch, and W. Carl Saunders. 2005. Tangled webs: reciprocal flows of invertebrate prey link streams and riparian zones. Freshwater Biology 50:201-220.</t>
  </si>
  <si>
    <t>Cannings, S. G. and R. A. Cannings. 1994. The Odonata of the northern Cordilleran peatlands of North America. Memoirs of the Entomological Society of Canada 169:89-110.</t>
  </si>
  <si>
    <t>Christie, K. S. and T. E. Reimchen. 2008. Presence of salmon increases passerine density on Pacific Northwest streams. The Auk 125:51-59.</t>
  </si>
  <si>
    <t>Claeson, S. M., J. L. Li, J. E. Compton, and P. A. Bisson. 2006. Response of nutrients, biofilm, and benthic insects to salmon carcass addition. Canadian Journal of Fisheries and Aquatic Sciences 63:1230-1241.</t>
  </si>
  <si>
    <t>Corcoran, R. M., J. R. Lovvorn, and P. J. Heglund. 2009. Long-term change in limnology and invertebrates in Alaskan boreal wetlands. Hydrobiologia 620:77–89.</t>
  </si>
  <si>
    <t>Fischer, J. R., M. C. Quist, S. L. Wigen, A. J. Schaefer, T. W. Stewart, and T. M. Isenhart. 2010. Assemblage and population-level responses of stream fish to riparian buffers at multiple spatial scales. Transactions of the American Fisheries Society 139:185-200.</t>
  </si>
  <si>
    <t>Frimpong, E. A., T. M. Sutton, K. J. Lim, P. J. Hrodey, B. A. Engel, T. P. Simon, J. G. Lee, and D. C. LeMaster. 2005. Determination of optimal riparian forest buffer dimensions for stream biota-landscape association models using multi metric and multi variate responses. Canadian Journal of Fisheries and Aquatic Sciences 62:1-6.</t>
  </si>
  <si>
    <t>Gende, S. M. and M. F. Willson. 2001. Passerine densities in riparian forests of southeast Alaska: potential effects of anadromous spawning salmon. The Condor 103:624-629.</t>
  </si>
  <si>
    <t>Gregory, S. V., F. J. Swanson, W. A. McKee, and K. W. Cummins. 1991. An ecosystem perspective of riparian zones: Focus on links between land and water. Bioscience 41:540-550.</t>
  </si>
  <si>
    <t>Hoover, S. E. R., L. G. W. Shannon, and J. D. Ackerman. 2007. The effect of riparian condition on invertebrate drift in mountain streams. Aquatic Sciences 69:544-553.</t>
  </si>
  <si>
    <t>Kiffney, P. M. and J. P. Bull. 2000. Factors controlling periphyton accrual during summer in headwater streams of southwestern British Columbia, Canada. Journal of Freshwater Ecology 15:339-351.</t>
  </si>
  <si>
    <t>Kiffney, P. M., J. S. Richardson, and J. P. Bull. 2003. Responses of periphyton and insects to experimental manipulation of riparian buffer width along forest streams. Journal of Applied Ecology 40:1060-1076.</t>
  </si>
  <si>
    <t>Knutson, K. L., V. Naef, and Washington (State) Department of Fish and Wildlife. 1997. Management Recommendations for Washington's Priority Habitats: Riparian. Washington Department of Fish and Wildlife, Olympia, WA.</t>
  </si>
  <si>
    <t>McDade, M. H., F. J. Swanson, W. A. McKee, J. F. Franklin, and J. Van Sickle. 1990. Source  distances for coarse woody debris entering small streams in western Oregon and Washington USA. Canadian Journal of Forest Research 20:326-330.</t>
  </si>
  <si>
    <t>Meleason, M. A., S. V. Gregory, and J. P. Bolte. 2003. Implications of riparian management strategies on wood in streams of the Pacific Northwest. Ecological Applications 13:1212-1221.</t>
  </si>
  <si>
    <t>Moldenke, A. R. and C. V. Linden. 2007. Effects of clearcutting and riparian buffers on the yield of adult aquatic macroinvertebrates from headwater streams. Forest Science 53:308-319.</t>
  </si>
  <si>
    <t>Moore, J. W. and D. E. Schindler. 2008. Biotic disturbance and benthic community dynamics in salmon-bearing streams. Journal of Animal Ecology 77:275-284.</t>
  </si>
  <si>
    <t>Murphy, M. 1995. Forestry Impacts on Freshwater Habitat of Anadromous Salmonids in the Pacific Northwest and Alaska – Requirements for Protection and Restoration. NOAA Coastal Ocean Program Decision Analysis Series No. 7. U.S. Department of Commerce, National Oceanic and Atmospheric Administration Coastal Ocean Office, NOAA Coastal Ocean Office, Silver Springs, MD.</t>
  </si>
  <si>
    <t>Naiman, R. J., R. E. Bilby, and P. A. Bisson. 2000. Riparian ecology and management in the Pacific Coastal Rain Forest. Bioscience 50:996-1011.</t>
  </si>
  <si>
    <t>Ober, H. K. and J. P. Hayes. 2008. Influence of forest riparian vegetation on abundance and biomass of nocturnal flying insects. Forest Ecology and Management 256:1124-1132.</t>
  </si>
  <si>
    <t>Richards, C., L. B. Johnson, and G. E. Host. 1996. Landscape-scale influences on stream habitats and biota. Canadian Journal of Fisheries and Aquatic Sciences 53:295-311.</t>
  </si>
  <si>
    <t>Richardson, J. S., R. E. Bilby, and C. A. Bondar. 2005. Organic matter dynamics in small streams of the Pacific Northwest. Journal of the American Water Resources Association 41:921-934.</t>
  </si>
  <si>
    <t>Robison, E. G. and R. L. Beschta. 1990. Identifying trees in riparian areas that can provide coarse woody debris to streams. Forest Science 36:790-801.</t>
  </si>
  <si>
    <t>Roth, B. M., I. C. Kaplan, G. G. Sass, P. T. Johnson, A. E. Marburg, A. C. Yannarell, T. D. Havlicek, T. V. Willis, M. G. Turner, and S. R. Carpenter. 2007. Linking terrestrial and aquatic ecosystems: The role of woody habitat in lake food webs. Ecological Modelling 203:439-452.</t>
  </si>
  <si>
    <t>Utz, R. M., R. H. Hilderbrand, and D. M. Boward. 2009. Identifying regional differences in threshold responses of aquatic invertebrates to land cover gradients. Ecological Indicators 9:556-567.</t>
  </si>
  <si>
    <t>Wenger, S. and L. Fowler. 2000. Protecting stream and river corridors : creating effective local riparian buffer ordinances. Carl Vinson Institute of Government, the University of Georgia, Athens, GA.</t>
  </si>
  <si>
    <t>Wipfli, M. S., J. S. Richardson, and R. J. Naiman. 2007. Ecological linkages between headwaters and downstream ecosystems: transport of organic matter, invertebrates, and wood down headwater channels. Journal of the American Water Resources Association 43:72-85.</t>
  </si>
  <si>
    <t>Ball, B. A., J. S. Kominoski, H. E. Adams, S. E. Jones, E. S. Kane, T. D. Loecke, W. M. Mahaney, J. P. Martina, C. M. Prather, T. M. P. Robinson, and C. T. Solomon. 2010. Direct and terrestrial vegetation-mediated effects of environmental change on aquatic ecosystem processes. Bioscience 60:590-601.</t>
  </si>
  <si>
    <t>Chan-McLeod, A. C. A. and A. Moy. 2007. Evaluating residual tree patches as stepping stones and short-term refugia for red-legged frogs. Journal of Wildlife Management 71:1836-1844.</t>
  </si>
  <si>
    <t>Cushman, S. A. 2006. Effects of habitat loss and fragmentation on amphibians: a review and prospectus. Biological Conservation 128:231-240.</t>
  </si>
  <si>
    <t>Eigenbrod, F., S. J. Hecnar, and L. Fahrig. 2008a. Accessible habitat: an improved measure of the effects of habitat loss and roads on wildlife populations. Landscape Ecology:159-168.</t>
  </si>
  <si>
    <t>Eigenbrod, F., S. J. Hecnar, and L. Fahrig. 2008b. The relative effects of road traffic and forest cover on anuran populations. Biological Conservation 141:35-46.</t>
  </si>
  <si>
    <t>Hawkins, C. P., M. L. Murphy, N. H. Anderson, and M. A. Wilzbach. 1983. Density of fish and salamanders in relation to riparian canopy and physical habitat in streams of the northwestern United-States. Canadian Journal of Fisheries and Aquatic Sciences 40:1173-1185.</t>
  </si>
  <si>
    <t>Marsh, D. M. 2007. Edge effects of gated and ungated roads on terrestrial salamanders. Journal of Wildlife Management 71:389-394.</t>
  </si>
  <si>
    <t>Semlitsch, R. D., T. J. Ryan, K. Ramed, M. Chatfield, B. Drehman, N. Pekarek, M. Spath, and A. Watland. 2007. Salamander abundance along road edges and within abandoned logging roads in Appalachian forests. Conservation Biology 21:159-167.</t>
  </si>
  <si>
    <t>Burger, J. 1981. The effect of human activity on birds at a coastal bay. Biological Conservation 21:231-241.</t>
  </si>
  <si>
    <t>Epners, C. A., S. E. Bayley, J. E. Thompson, and W. M. Tonn. 2010. Influence of fish assemblage and shallow lake productivity on waterfowl communities in the Boreal Transition Zone of western Canada. Freshwater Biology 55:2265-2280.</t>
  </si>
  <si>
    <t>Haig, S. M., D. W. Mehlman, and L. W. Oring. 1998. Avian movements and wetland connectivity in landscape conservation. Conservation Biology 12:749-758.</t>
  </si>
  <si>
    <t>Klein, M. L., S. R. Humphrey, and H. F. Percival. 1995. Effects of ecotourism on distribution of waterbirds in a wildlife refuge. Conservation Biology 9:1454-1465.</t>
  </si>
  <si>
    <t>Savard, J.-P. L., W. S. Boyd, and G. E. J. Smith. 1994. Waterfowl–wetland relationships in the Aspen Parkland of British Columbia: comparison of analytical methods. Hydrobiologia 279/280:309-325.</t>
  </si>
  <si>
    <t>Taft, O. W. and S. M. Haig. 2005. The value of agricultural wetlands as invertebrate resources for wintering shorebirds. Agriculture, Ecosystems &amp; Environment 110:249-256.</t>
  </si>
  <si>
    <t>Thormann, M. N. and S. E. Bayley. 1997. Aboveground plant production and nutrient content of the vegetation in six peatlands in Alberta, Canada. Plant Ecology 131:1-16.</t>
  </si>
  <si>
    <t>Andren, H. 1994. Effects of habitat fragmentation on birds and mammals in landscapes with different proportions of suitable habitat – a review. Oikos 71:355-366.</t>
  </si>
  <si>
    <t>Awade, M. and J. P. Metzger. 2008. Using gap-crossing capacity to evaluate functional connectivity of two Atlantic rainforest birds and their response to fragmentation. Austral Ecology 33:863 - 871.</t>
  </si>
  <si>
    <t>Aznar, J. C. and A. Desrochers. 2008. Building for the future: Abandoned beaver ponds promote bird diversity. Ecoscience 15:250-257.</t>
  </si>
  <si>
    <t>Barber, J. R., K. R. Crooks, and K. M. Fristrup. 2010. The costs of chronic noise exposure for terrestrial organisms. Trends in Ecology &amp; Evolution 25:180-189.</t>
  </si>
  <si>
    <t>Belisle, M. and A. Desrochers. 2002. Gap-crossing decisions by forest birds: an empirical basis for parameterizing spatially-explicit, individual-based models. Landscape Ecology 17:219-231.</t>
  </si>
  <si>
    <t>Benitez-Lopez, A., R. Alkemade, and P. A. Verweij. 2010. The impacts of roads and other infrastructure on mammal and bird populations: A meta-analysis. Biological Conservation 143:1307-1316.</t>
  </si>
  <si>
    <t>Chace, J. F. and J. J. Walsh. 2006. Urban effects on native avifauna: a review. Landscape and Urban Planning 74:46-69.</t>
  </si>
  <si>
    <t>Clevenger, A. P., B. Chruszczc, and K. E. Gunson. 2003. Spatial patterns and factors influencing small vertebrate fauna road-kill aggregations. Biological Conservation 109:15-26.</t>
  </si>
  <si>
    <t>Creegan, H. P. and P. E. Osborne. 2005. Gap-crossing decisions of woodland songbirds in Scotland: an experimental approach. Journal of Applied Ecology 42:678-687.</t>
  </si>
  <si>
    <t>Desrochers, A. and S. J. Hannon. 1997. Gap crossing decisions by forest songbirds during the post-fledging period. Conservation Biology 11:1204-1210.</t>
  </si>
  <si>
    <t>Donnelly, R. and J. M. Marzluff. 2004. Importance of reserve size and landscape context to urban bird conservation. Conservation Biology 18:733-745.</t>
  </si>
  <si>
    <t>Donnelly, R. and J. Marzluff. 2006. Relative importance of habitat quantity, structure, and spatial pattern to birds in urbanizing environments. Urban Ecosystems 9:99-117.</t>
  </si>
  <si>
    <t>Drever, M. C. and K. Martin. 2010. Response of woodpeckers to changes in forest health and harvest: Implications for conservation of avian biodiversity. Forest Ecology and Management 259:958-966.</t>
  </si>
  <si>
    <t xml:space="preserve">Fahrig, L. and T. Rytwinski. 2009. Effects of roads on animal abundance: an empirical review and synthesis. Ecology and Society 14:21. http://www.ecologyandsociety.org/vol14/iss21/art21/ </t>
  </si>
  <si>
    <t>Forman, R. T. T., B. Reineking, and A. M. Hersperger. 2002. Road traffic and nearby grassland bird patterns in a suburbanizing landscape. Environmental Management 29:782-800.</t>
  </si>
  <si>
    <t>Grindal, S. D., J. L. Morissette, and R. M. Brigham. 1999. Concentration of bat activity in riparian habitats over an elevational gradient. Canadian Journal of Zoology 77:972-977.</t>
  </si>
  <si>
    <t>Grindal, S. D. and R. M. Brigham. 1999. Impacts of forest harvesting on habitat use by foraging insectivorous bats at different spatial scales. Ecoscience 6:25-34.</t>
  </si>
  <si>
    <t>Grover, A. M. and G. A. Baldassarre. 1995. Bird species richness within beaver ponds in south-central New York. Wetlands 15:108-118.</t>
  </si>
  <si>
    <t>Lees, A. C. and C. A. Peres. 2009. Gap-crossing movements predict species occupancy in Amazonian Forest Fragments. Oikos 118:280-290.</t>
  </si>
  <si>
    <t>Martin, J. L., S. A. Stockton, S. Allombert, and A. J. Gaston. 2010. Top-down and bottom-up consequences of unchecked ungulate browsing on plant and animal diversity in temperate forests: lessons from a deer introduction. Biological Invasions 12:353-371.</t>
  </si>
  <si>
    <t>Massey, B., R. Bowen, C. Griffin, and K. McGarigal. 2008. A classification-tree analysis of nesting habitat in an island population of Northern Harriers. Condor 110:177-183.</t>
  </si>
  <si>
    <t>Mazerolle, M. J., B. Drolet, and A. Desrochers. 2001. Small-mammal responses to peat mining of southeastern Canadian bogs. Canadian Journal of Zoology 79:296-302.</t>
  </si>
  <si>
    <t>Minor, E. and D. Urban. 2010. Forest bird communities across a gradient of urban development. Urban Ecosystems 13:51-71.</t>
  </si>
  <si>
    <t>Oneal, A. S. and J. T. Rotenberry. 2009. Scale-dependent habitat relations of birds in riparian corridors in an urbanizing landscape. Landscape and Urban Planning 92:264-275.</t>
  </si>
  <si>
    <t>Ortega, Y. K. and D. E. Capen. 2002. Roads as edges: effects on birds in forested landscapes. Forest Science 48:381-390.</t>
  </si>
  <si>
    <t>Ott, R. A. and G. P. Juday. 2002. Canopy gap characteristics and their implications for management in the temperate rainforests of southeast Alaska. Forest Ecology and Management 159:271-291.</t>
  </si>
  <si>
    <t>Pennington, D. N. 2008. Riparian Bird Communities Along an Urban Gradient: Effects of Local Vegetation, Landscape Biophysical Heterogeneity, and Spatial Scale. Ph. D. Dissertation. University of Minnesota, Twin Cities, MN.</t>
  </si>
  <si>
    <t>Poulin, J.-F., M.-A. Villard, M. Edman, P. J. Goulet, and A.-M. Eriksson. 2008. Thresholds in nesting habitat requirements of an old forest specialist, the Brown Creeper (Certhia americana), as conservation targets. Biological Conservation 141:1129-1137.</t>
  </si>
  <si>
    <t>Rail, J. F., M. Darveau, A. Desrochers, and J. Huot. 1997. Territorial responses of boreal forest birds to habitat gaps. Condor 99:976-980.</t>
  </si>
  <si>
    <t>Robertson, O. J. and J. Q. Radford. 2009. Gap-crossing decisions of forest birds in a fragmented landscape. Austral Ecology 34:435-446.</t>
  </si>
  <si>
    <t>Schaub, A., J. Ostwald, and B. M. Siemers. 2008. Foraging bats avoid noise. Journal of Experimental Biology 211:3174-3180.</t>
  </si>
  <si>
    <t>Schieck, J., K. Lertzman, B. Nyberg, and R. Page. 1995. Effects of patch size on birds in old-growth montane forests. Conservation Biology 9:1072-1084.</t>
  </si>
  <si>
    <t>Shirley, S. M. 2005. Habitat use by riparian and upland birds in oldgrowth coastal British Columbia rainforest. Wilson Bulletin 117:245-257.</t>
  </si>
  <si>
    <t>Slabbekoorn, H. and E. A. P. Ripmeester. 2008. Birdsong and anthropogenic noise: implications and applications for conservation. Molecular Ecology 17:72-83.</t>
  </si>
  <si>
    <t>Smith, C. M. and D. G. Wachob. 2006. Trends associated with residential development in riparian breeding bird habitat along the Snake River in Jackson Hole, WY, USA: Implications for conservation planning. Biological Conservation 128:431-446.</t>
  </si>
  <si>
    <t>Sperry, D. M., M. Kissling, and T. L. George. 2008. Avian nest survival in coastal forested buffer strips on Prince of Wales Island, Alaska. Condor 110:740-746.</t>
  </si>
  <si>
    <t>Thiemann, J. A., C. R. Webster, M. A. Jenkins, P. M. Hurley, J. H. Rock, and P. S. White. 2009. Herbaceous-layer impoverishment in a post-agricultural southern Appalachian landscape. American Midland Naturalist 162:148-168.</t>
  </si>
  <si>
    <t>Tremblay, M. A. and C. C. St. Clair. 2009. Factors affecting the permeability of transportation and riparian corridors to the movements of songbirds in an urban landscape. Journal of Applied Ecology 46:1314-1322.</t>
  </si>
  <si>
    <t>Tremblay, M. A. and C. C. St Clair. 2011. Permeability of a heterogeneous urban landscape to the movements of forest songbirds. Journal of Applied Ecology 48:679-688.</t>
  </si>
  <si>
    <t>Trombulak, S. C. and C. A. Frissell. 2000. Review of ecological effects of roads on terrestrial and aquatic communities. Conservation Biology 14:18-30.</t>
  </si>
  <si>
    <t>Vermaat, J. E., N. Vigneau, and N. Omtzigt. 2008. Viability of meta-populations of wetland birds in a fragmented landscape: testing the key-patch approach. Biodiversity and Conservation 17:2263-2273.</t>
  </si>
  <si>
    <t>Whitaker, D. M., A. L. Carroll, and W. A. Montevecchi. 2000. Elevated numbers of flying insects and insectivorous birds in riparian buffer strips. Canadian Journal of Zoology 78:740-747.</t>
  </si>
  <si>
    <t>Zmihorski, M. 2010. The effect of windthrow and its management on breeding bird communities in a managed forest. Biodiversity and Conservation 19:1871-1882.</t>
  </si>
  <si>
    <t>Savage, J., T. A. Wheeler, A. M. A. Moores, and A. G. Taillefer. 2011. Effects of habitat size, vegetation cover, and surrounding land use on Diptera diversity in temperate Nearctic bogs. Wetlands 31:125-134.</t>
  </si>
  <si>
    <t>Most waterbirds require some unflooded shoreline for nesting, while also needing large areas of water and emergent vegetation for feeding.</t>
  </si>
  <si>
    <t>Function Score for Amphibian Habitat</t>
  </si>
  <si>
    <t>Function Score for Resident Fish Habitat</t>
  </si>
  <si>
    <t xml:space="preserve"> </t>
  </si>
  <si>
    <t>Anderson, P. D. and M. A. Meleason. 2009. Discerning responses of down wood and understory vegetation abundance to riparian buffer width and thinning treatments: an equivalence-inequivalence approach. Canadian Journal of Forest Research 39:2470-2485.</t>
  </si>
  <si>
    <t>Baldwin, L. K. and G. E. Bradfield. 2007. Bryophyte responses to fragmentation in temperate coastal rainforests: a functional group approach. Biological Conservation 136:408-422.</t>
  </si>
  <si>
    <t>Bayley, S. E. and J. K. Guimond. 2008. Effects of river connectivity on marsh vegetation community structure and species richness in montane floodplain wetlands in Jasper National Park, Alberta, Canada. Ecoscience 15:377-388.</t>
  </si>
  <si>
    <t>Bayley, S. E. and J. K. Guimond. 2009. Above ground biomass and nutrient limitations in relation to river connectivity in montane floodplain marshes. Wetlands 29:1243-1254.</t>
  </si>
  <si>
    <t>Bedford, B. L. and K. S. Godwin. 2003. Fens of the United States: distribution, characteristics, and scientific connection versus legal isolation. Wetlands 23:608-629.</t>
  </si>
  <si>
    <t>Bliss, S. A. and P. H. Zedler. 1997. The germination process in vernal pools: sensitivity to environmental conditions and effects on community structure. Oecologia 113:67-73.</t>
  </si>
  <si>
    <t>Boudreault, C., Y. Bergeron, P. Drapeau, and L. M. Loopez. 2008. Edge effects on epiphytic lichens in remnant stands of managed landscapes in the eastern boreal forest of Canada. Forest Ecology and Management 255:1461-1471.</t>
  </si>
  <si>
    <t>Cadenasso, M. L. and S. T. A. Pickett. 2001. Effect of edge structure on the flux of species into forest interiors. Conservation Biology 15:91-97.</t>
  </si>
  <si>
    <t>DeGasperi, C. L., H. B. Berge, K. R. Whiting, J. J. Burkey, J. L. Cassin, and R. R. Fuerstenberg. 2009. LIinking hydrologic alteration to biological impairment in urbanizing streams of the Puget Lowland, Washington, USA. Journal of the American Water Resources Association 45:512-533.</t>
  </si>
  <si>
    <t>Ehrenfeld, J. G., B. Ravit, and K. Elgersma. 2005. Feedback in the plant-soil system. Annual Review of Environment and Resources 30:75-115.</t>
  </si>
  <si>
    <t>Gignac, L. D. and M. R. T. Dale. 2007. Effects of size, shape, and edge on vegetation in remnants of the upland boreal mixed-wood forest in agro-environments of Alberta, Canada. Canadian Journal of Botany 85:273-284.</t>
  </si>
  <si>
    <t>Heithecker, T. D. and C. B. Halpern. 2007. Edge-related gradients in microclimate in forest aggregates following structural retention harvests in western Washington. Forest Ecology and Management 248:163-173.</t>
  </si>
  <si>
    <t>Houlahan, J. E., P. A. Keddy, K. Makkay, and C. S. Findlay. 2006. The effects of adjacent land use on wetland species richness and community composition. Wetlands 26:79-96.</t>
  </si>
  <si>
    <t>Hylander, K., B. G. Jonsson, and C. Nilsson. 2002. Evaluating buffer strips along boreal streams using bryophytes as indicators. Ecological Applications 12:797-806.</t>
  </si>
  <si>
    <t>Magee, T. K. and M. E. Kentula. 2005. Response of wetland plant species to hydrologic conditions. Wetlands Ecology and Management 13:163-181.</t>
  </si>
  <si>
    <t>Malmer, N., C. Albinsson, B. M. Svensson, and B. Wallén. 2003. Interferences between Sphagnum and vascular plants: effects on plant community structure and peat formation. Oikos 100:469-482.</t>
  </si>
  <si>
    <t>McClellan, M. H., T. Brock, and J. F. Baichtal. 2003. Calcareous fens in southeast Alaska. US Department of Agriculture, Forest Service, Pacific Northwest Research Station, Portland, OR.</t>
  </si>
  <si>
    <t>Moore, T. R. 1989. Growth and net production of Sphagnum at five fen sites, subarctic eastern Canada. Canadian Journal of Botany 67:1203–1207.</t>
  </si>
  <si>
    <t>Nekola, J. C. and P. S. White. 1999. Distance decay of similarity in biogeography and ecology. Journal of Biogeography 26:867–878.</t>
  </si>
  <si>
    <t>Pollock, M. M., R. J. Naiman, and T. A. Hanley. 1998. Plant species richness in riparian wetlands - a test of biodiversity theory. Ecology 79:94-105.</t>
  </si>
  <si>
    <t>Radies, D., D. Coxson, C. Johnson, and K. Konwicki. 2009. Predicting canopy macrolichen diversity and abundance within old-growth inland temperate rainforests. Forest Ecology and Management 259:86-97.</t>
  </si>
  <si>
    <t>Rogers, D. A., T. P. Rooney, T. J. Hawbaker, V. C. Radeloff, and D. M. Waller. 2009. Paying the extinction debt in southern Wisconsin forest understories. Conservation Biology 23:1497-1506.</t>
  </si>
  <si>
    <t>Rooney, R. C. and S. E. Bayley. 2011. Relative influence of local- and landscape-level habitat quality on aquatic plant diversity in shallow open-water wetlands in Alberta's boreal zone: direct and indirect effects. Landscape Ecology 26:1023-1034.</t>
  </si>
  <si>
    <t>Šamonil, P., K. Král, and L. Hort. 2010. The role of tree uprooting in soil formation: A critical literature review. Geoderma 157:65-79.</t>
  </si>
  <si>
    <t>Wright, J. P., C. G. Jones, and A. S. Flecker. 2002. An ecosystem engineer, the beaver, increases species richness at the landscape scale. Oecologia 132:96-101.</t>
  </si>
  <si>
    <t>Bahuguna, D., S. J. Mitchell, and Y. Miquelajauregui. 2010. Windthrow and recruitment of large woody debris in riparian stands. Forest Ecology and Management 259:2048-2055.</t>
  </si>
  <si>
    <t>Cole, C., R. Brooks, and D. Wardrop. 1997. Wetland hydrology as a function of hydrogeomorphic (HGM) subclass. Wetlands 17:456-467.</t>
  </si>
  <si>
    <t>Engelhardt, K. A. M. and J. A. Kadlec. 2001. Species traits, species richness and the resilience of wetlands after disturbance. Journal of Aquatic Plant Management 39:36-39.</t>
  </si>
  <si>
    <t>Hennings, L. A. and W. D. Edge. 2003. Riparian bird community structure in Portland, Oregon: habitat, urbanization, and spatial scale patterns. The Condor 105:288-302.</t>
  </si>
  <si>
    <t>Leibowitz, S. G. 2003. Isolated wetlands and their functions: An ecological perspective. Wetlands 23:517-531.</t>
  </si>
  <si>
    <t>Martin, D. J. and R. A. Grotefendt. 2007. Stand mortality in buffer strips and the supply of woody debris to streams in Southeast Alaska. Canadian Journal of Forest Research 37:36-49.</t>
  </si>
  <si>
    <t>Martin, D. B. and W. Hartman. 1987. The effect of cultivation on sediment composition and deposition in prairie pothole wetlands. Water Air Soil Pollution 34:45-53.</t>
  </si>
  <si>
    <t>Oberts, G. L. 1977. Water Quality Effects of Potential Urban Best Management Practices: A Literature Review. Technical Bulletin No. 97. Wisconsin Department of Natural Resources, Madison, WI.</t>
  </si>
  <si>
    <t>Stohlgren, T. J., G. W. Chong, L. D. Schell, K. A. Rimar, Y. Otsuki, M. Lee, M. A. Kalkhan, and C. A. Villa. 2002. Assessing vulnerability to invasion by nonnative plant species at multiple spatial scales. Environmental Management 29:566-577.</t>
  </si>
  <si>
    <t>Werner, K. J. and J. B. Zedler. 2002. How sedge meadow soils, microtopography, and vegetation respond to sedimentation. Wetlands 22:451-466.</t>
  </si>
  <si>
    <t>Whigham, D. F. and T. E. Jordan. 2003. Isolated wetlands and water quality. Wetlands 23:541-549.</t>
  </si>
  <si>
    <t>Whited, P. M. 2001. Sedimentation of depressional wetlands in agricultural settings. Wetland Restoration, Enhancement, and Management http://www.sedlab.olemiss.edu/projects/rodrigue/restoration_technote/IVB.pdf.</t>
  </si>
  <si>
    <t>Wigand, C., R. A. McKinney, M. A. Charpentier, M. M. Chintala, and G. B. Thursby. 2003. Relationships of nitrogen loadings, residential development, and physical characteristics with plant structure in New England salt marshes. Estuaries 26:1494-1504.</t>
  </si>
  <si>
    <t>Soil Texture</t>
  </si>
  <si>
    <t>(2*MAX(HistAccum, PhysAccum) + Productiv +3*MethLimit) /6</t>
  </si>
  <si>
    <t xml:space="preserve">Soils with a thick organic layer have the most carbon available for export. However, moderately coarse soils (silts, loams) are better-aerated, less acidic, and thus can have greater plant productivity. Very coarse soils, unless flooded regularly by rivers, tend to be nutrient-poor thus limiting plant productivity. However, their presence may indicate periodic exposure to water currents capable of exporting carbon, and coarse soils sometimes support greater plant productivity because greater inflitration can reduce the frequency of anoxic conditions that stifle productivity of some rooted plants. </t>
  </si>
  <si>
    <t>Non-vegetated Aquatic Cover</t>
  </si>
  <si>
    <t>Isolated Island</t>
  </si>
  <si>
    <t>Flat Shoreline Extent</t>
  </si>
  <si>
    <t>Annual Water Fluctuation Range</t>
  </si>
  <si>
    <t>Use of the AA by beaver during the past 5 years is (select most applicable ONE):</t>
  </si>
  <si>
    <t>Indicators</t>
  </si>
  <si>
    <t>Accelerated Inputs of Contaminants and/or Salts</t>
  </si>
  <si>
    <t>Accelerated Inputs of Nutrients</t>
  </si>
  <si>
    <t>The need to cool surface waters is likely to be greatest at locations that are the region's warmest.</t>
  </si>
  <si>
    <t>Because actual data on nitrate loads are lacking for many wetland watersheds, this approximation based on a host of N-generating activities is included as well.</t>
  </si>
  <si>
    <t>Plants are more productive at warmer soil or sediment temperatures, and this supports higher productivity of aquatic insects and ultimately resident fish. Risk of winterkill by long-duration ice cover also may be less in warmer parts of the region.</t>
  </si>
  <si>
    <t>Warmth10</t>
  </si>
  <si>
    <t>Plants are more productive at warmer soil or sediment temperatures, and this supports higher productivity of aquatic insects.</t>
  </si>
  <si>
    <t>warmth8</t>
  </si>
  <si>
    <t>Warmer mean annual temperature implies higher aquatic productivity and a longer period during which surface waters remain ice-free and thus usable by waterbirds.</t>
  </si>
  <si>
    <t>Wetlands in regions with colder temperatures and shorter growing seasons take more time to recover from disturbances, and thus may be considered to be more sensitive.</t>
  </si>
  <si>
    <t>Doerr, S. H., C. T. Llewellyn, P. Douglas, C. P. Morley, K. A. Manwaring, and C. Haskins. 2005. Extraction of compounds associated with water repellency in sandy soils of different origin. Australian Journal of Soil Research 43:225.</t>
  </si>
  <si>
    <t>Distance to Nearest Maintained Road</t>
  </si>
  <si>
    <t>North-facing wetlands are likely to be more shaded and thus cooler and more capable of contributing cool water to downslope water bodies.</t>
  </si>
  <si>
    <t>There is more opportunity for suspended sediments to be trapped by a wetland (and thus more value to this function) if the wetland contains surface water which facilitates transport of suspended sediment. into the wetland.</t>
  </si>
  <si>
    <t>SatPct2</t>
  </si>
  <si>
    <t>SatPct3</t>
  </si>
  <si>
    <t>AVERAGE(SatPct, Persis, DomDepth, Fluctu)</t>
  </si>
  <si>
    <t>SatPct4</t>
  </si>
  <si>
    <t>Stressor Subscore=</t>
  </si>
  <si>
    <t>The larvae of many wetland invertebrates require surface water, so the absence or scarcity of that limits aquatic invertebrate richness.</t>
  </si>
  <si>
    <t>Visib12</t>
  </si>
  <si>
    <t>PopCtr12</t>
  </si>
  <si>
    <t>Warmth12</t>
  </si>
  <si>
    <t>SatPct_S</t>
  </si>
  <si>
    <r>
      <t xml:space="preserve">Assuming access permission was granted, select </t>
    </r>
    <r>
      <rPr>
        <b/>
        <sz val="10"/>
        <rFont val="Arial Narrow"/>
        <family val="2"/>
      </rPr>
      <t xml:space="preserve">ALL </t>
    </r>
    <r>
      <rPr>
        <sz val="10"/>
        <rFont val="Arial Narrow"/>
        <family val="2"/>
      </rPr>
      <t>statements that are true of the AA as it currently exists:</t>
    </r>
  </si>
  <si>
    <t>The frequency of most recreational visits declines with increasing distance from roads.</t>
  </si>
  <si>
    <t>DistRdPU</t>
  </si>
  <si>
    <t>RecUse</t>
  </si>
  <si>
    <t>Enrich</t>
  </si>
  <si>
    <t>Hydrologic Stressors</t>
  </si>
  <si>
    <t>Water Quality Stressors</t>
  </si>
  <si>
    <t>Fragmentation Stressors</t>
  </si>
  <si>
    <t>Disturbance Stressors</t>
  </si>
  <si>
    <t>VisibWet</t>
  </si>
  <si>
    <t>BuffDisturbTyp</t>
  </si>
  <si>
    <t>OpenPonded7</t>
  </si>
  <si>
    <t>Interspers2</t>
  </si>
  <si>
    <t>PondedPct6</t>
  </si>
  <si>
    <t>Lack of physical barriers, provision of trails, and interpretive signs encourage greater public use of areas. However, some apparent barriers (e.g., deep water, dense brush) may be barriers only to summer recreation; frozen wetlands may enjoy considerable wintertime use.</t>
  </si>
  <si>
    <t>OF24</t>
  </si>
  <si>
    <t>OF25</t>
  </si>
  <si>
    <t>The longer the hydrologic path length, the greater the friction provided and thus the most effective a wetland potentially is at slowing or desynchonizing the downslope movement of runoff.</t>
  </si>
  <si>
    <t>Phosphorus retention often correlates with detention time, which in turn correlates with flow path length within a wetland.</t>
  </si>
  <si>
    <t>N removal often correlates with detention time, which in turn correlates with flow path length within a wetland.</t>
  </si>
  <si>
    <t>Longer flow paths allow for more interaction between runoff and wetland vegetation, which potentially leads to removal and export of more decomposed organic matter.</t>
  </si>
  <si>
    <t xml:space="preserve">The water regimes of wetlands whose catchments are small relative to wetland size are often more precarious and sensitive to landscape alterations (Fitzgerald et al. 2003). </t>
  </si>
  <si>
    <t>FlowDist2</t>
  </si>
  <si>
    <t>FlowDist3</t>
  </si>
  <si>
    <t>Interspers3</t>
  </si>
  <si>
    <t>Algae3</t>
  </si>
  <si>
    <t>Nsource4</t>
  </si>
  <si>
    <t>Warmth</t>
  </si>
  <si>
    <t xml:space="preserve">Interception and/or Erosion Resistance </t>
  </si>
  <si>
    <t>Redox</t>
  </si>
  <si>
    <t>WetPctCA4</t>
  </si>
  <si>
    <t>FloDist4</t>
  </si>
  <si>
    <t>Warmth4</t>
  </si>
  <si>
    <t>SoilDisturb5</t>
  </si>
  <si>
    <t>Warmth5</t>
  </si>
  <si>
    <t>Sedge5</t>
  </si>
  <si>
    <t>Warmth6</t>
  </si>
  <si>
    <t>FloDist6</t>
  </si>
  <si>
    <t>Wettype6</t>
  </si>
  <si>
    <t>Interspers6</t>
  </si>
  <si>
    <t>AVERAGE(GroundW, TidalProx, Elev, Wettype, Karst, Nfix)</t>
  </si>
  <si>
    <t>Beaver9</t>
  </si>
  <si>
    <t>Core9</t>
  </si>
  <si>
    <t>DistRd10</t>
  </si>
  <si>
    <t>Core10</t>
  </si>
  <si>
    <t>DepthDiv8</t>
  </si>
  <si>
    <t>HerbDiv8</t>
  </si>
  <si>
    <r>
      <t>Burger, J. and M. Gochfeld. 1991. Human activity influence and diurnal and nocturnal foraging of sanderlings (</t>
    </r>
    <r>
      <rPr>
        <i/>
        <sz val="10"/>
        <rFont val="Arial Narrow"/>
        <family val="2"/>
      </rPr>
      <t>Calidris alba</t>
    </r>
    <r>
      <rPr>
        <sz val="10"/>
        <rFont val="Arial Narrow"/>
        <family val="2"/>
      </rPr>
      <t>). Condor 93:259-265.</t>
    </r>
  </si>
  <si>
    <t>Algae12</t>
  </si>
  <si>
    <r>
      <t>Hood, G. A. and S. E. Bayley. 2008. Beaver (</t>
    </r>
    <r>
      <rPr>
        <i/>
        <sz val="10"/>
        <rFont val="Arial Narrow"/>
        <family val="2"/>
      </rPr>
      <t>Castor canadensis</t>
    </r>
    <r>
      <rPr>
        <sz val="10"/>
        <rFont val="Arial Narrow"/>
        <family val="2"/>
      </rPr>
      <t>) mitigate the effects of climate on the area of open water in boreal wetlands in western Canada. Biological Conservation 141:556-567.</t>
    </r>
  </si>
  <si>
    <t>AVERAGE(Convenience, Invest, RecPot)</t>
  </si>
  <si>
    <t xml:space="preserve">Within or near the AA, there is an interpretive center, trails with interpretive signs or brochures, and/or regular guided interpretive tours. </t>
  </si>
  <si>
    <t>BMP - Soils</t>
  </si>
  <si>
    <t>BMP - Wildlife Protection</t>
  </si>
  <si>
    <t>BMPsoilsPU</t>
  </si>
  <si>
    <t>BMPwildPU</t>
  </si>
  <si>
    <t>BMP11</t>
  </si>
  <si>
    <t>BMP12</t>
  </si>
  <si>
    <t>AVERAGE(Corea, Coreb, BMP, _Tox)</t>
  </si>
  <si>
    <t>BMP13</t>
  </si>
  <si>
    <t>BMPsoils20</t>
  </si>
  <si>
    <t>_IBA13</t>
  </si>
  <si>
    <t>Rare13</t>
  </si>
  <si>
    <t>RareHerb</t>
  </si>
  <si>
    <t>Calmé, S. and A. Desrochers. 2000. Biogeographic aspects of the distribution of bird species breeding in Québec’s peatlands. Journal of Biogeography 27: 725–732.</t>
  </si>
  <si>
    <r>
      <t>Bosschieter, L. and P. W. Goedhart. 2005. Gap crossing decisions by reed warblers (</t>
    </r>
    <r>
      <rPr>
        <i/>
        <sz val="10"/>
        <rFont val="Arial Narrow"/>
        <family val="2"/>
      </rPr>
      <t>Acrocephalus scirpaceus</t>
    </r>
    <r>
      <rPr>
        <sz val="10"/>
        <rFont val="Arial Narrow"/>
        <family val="2"/>
      </rPr>
      <t>) in agricultural landscapes. Landscape Ecology 20:455–468.</t>
    </r>
  </si>
  <si>
    <t>Bakker, V. J. and D. H. Van Vuren. 2004. Gap‐crossing decisions by the red squirrel, a forest‐dependent small mammal. Conservation Biology 18:689-697.</t>
  </si>
  <si>
    <r>
      <t>Flaherty, E. A., W. P. Smith, S. Pyare, and M. Ben-David. 2008. Experimental trials of the Northern flying squirrel (</t>
    </r>
    <r>
      <rPr>
        <i/>
        <sz val="10"/>
        <rFont val="Arial Narrow"/>
        <family val="2"/>
      </rPr>
      <t>Glaucomys sabrinus</t>
    </r>
    <r>
      <rPr>
        <sz val="10"/>
        <rFont val="Arial Narrow"/>
        <family val="2"/>
      </rPr>
      <t>) traversing managed rainforest landscapes: perceptual range and fine-scale movements. Canadian Journal of Zoology-Revue Canadienne De Zoologie 86:1050-1058.</t>
    </r>
  </si>
  <si>
    <t>Constricted</t>
  </si>
  <si>
    <t>BuffCovTyp4</t>
  </si>
  <si>
    <t>Island13</t>
  </si>
  <si>
    <t>PondPct4</t>
  </si>
  <si>
    <t>Infiltration, and thus deposition of sediment suspended in runoff, is potentially greater in areas where water and soils do not remain frozen for long periods. Wetlands tend to be ice-covered for shorter duration, thus reducing the erosion of sediment from their shorelines as a result of ice scour. Mean annual temperature is one indicator of the likelihood of this condition.</t>
  </si>
  <si>
    <t>The effectiveness for storing runoff or delaying the downslope movement of surface water for long or short periods.</t>
  </si>
  <si>
    <t>WS</t>
  </si>
  <si>
    <t>WC</t>
  </si>
  <si>
    <t>SR</t>
  </si>
  <si>
    <t>Phosphorus Retention</t>
  </si>
  <si>
    <t>The effectiveness for retaining phosphorus for long periods (&gt;1 growing season) as a result of chemical adsorption, or from translocation by plants to belowground zones with less potential for physically or chemically  remobilizing phosphorus into the water column.</t>
  </si>
  <si>
    <t>PR</t>
  </si>
  <si>
    <t>NR</t>
  </si>
  <si>
    <t>Carbon Sequestration</t>
  </si>
  <si>
    <t>CS</t>
  </si>
  <si>
    <t>OE</t>
  </si>
  <si>
    <t>FR</t>
  </si>
  <si>
    <t>Invertebrate Habitat</t>
  </si>
  <si>
    <t>INV</t>
  </si>
  <si>
    <t>AM</t>
  </si>
  <si>
    <t>SBM</t>
  </si>
  <si>
    <t>POL</t>
  </si>
  <si>
    <t>PH</t>
  </si>
  <si>
    <t xml:space="preserve">A wetland's lack of intrinsic resistance and resilience to human and natural stressors (higher score = more sensitive).
</t>
  </si>
  <si>
    <t>Sen</t>
  </si>
  <si>
    <t>STR</t>
  </si>
  <si>
    <t>The degree to which a wetland is, or has recently been altered by, or exposed to risk from, factors capable of reducing one or more of its functions and which are primarily human-related.</t>
  </si>
  <si>
    <t>The effectiveness for maintaining or reducing temperature of downslope waters.</t>
  </si>
  <si>
    <t>SFS</t>
  </si>
  <si>
    <t>The capacity to support or contribute to an abundance or diversity of waterbirds that migrate or winter but do not breed in the region.</t>
  </si>
  <si>
    <t>WBF</t>
  </si>
  <si>
    <t>The capacity to support or contribute to an abundance or diversity of waterbirds that nest in the region.</t>
  </si>
  <si>
    <t>The capacity to support or contribute to an abundance or diversity of native songbird, raptor, and mammal species and functional groups, especially those that are most dependent on wetlands or water.</t>
  </si>
  <si>
    <t>The capacity to support or contribute to a diversity of native, hydrophytic, vascular plant species, communities, and/or functional groups.</t>
  </si>
  <si>
    <t>PU</t>
  </si>
  <si>
    <t>Fyles, J. W. and I. H. Fyles. 1993. Interaction of Douglas-fir with red alder and salal foliage litter during decomposition. Canadian Journal of Forest Research 23:358-361.</t>
  </si>
  <si>
    <t>Pacific, V. J., K. G. Jensco, and B. L. McGlynn. 2010. Variable flushing mechanisms and landscape structure control stream DOC export during snowmelt in a set of nested catchments. Biogeochemistry 99:193-211.</t>
  </si>
  <si>
    <t>Wildlife Access</t>
  </si>
  <si>
    <t>Internal Flow Distance (Path Length)</t>
  </si>
  <si>
    <t>If they attract waterbirds, wetlands closer to settled areas may also attract greater bird-centered use by humans (e.g., birdwatching, hunting) thus increasing their value.</t>
  </si>
  <si>
    <t>FloDist1</t>
  </si>
  <si>
    <t>Warmth7</t>
  </si>
  <si>
    <t>Where a wetland comprises a large proportion of its catchment, nutrient loading is more likely to occur at rates and levels that can be processed effectively.</t>
  </si>
  <si>
    <r>
      <t xml:space="preserve">Grünfeld, S. and H. Brix. 1999. Methanogenesis and methane emissions: effects of water table, substrate type and presence of </t>
    </r>
    <r>
      <rPr>
        <i/>
        <sz val="10"/>
        <rFont val="Arial Narrow"/>
        <family val="2"/>
      </rPr>
      <t>Phragmites australis.</t>
    </r>
    <r>
      <rPr>
        <sz val="10"/>
        <rFont val="Arial Narrow"/>
        <family val="2"/>
      </rPr>
      <t xml:space="preserve"> Aquatic Botany 64.1 (1999): 63-75.</t>
    </r>
  </si>
  <si>
    <t>Number of anglers -- an indicator of fish value --would usually be expected to increase with increasing proximity to population centers.</t>
  </si>
  <si>
    <t>Number of anglers -- an indicator of fish value --would usually be expected to increase with increasing proximity to roads which facilitate access to wetlands with fish.</t>
  </si>
  <si>
    <t>Number of anglers -- an indicator of fish value -- would usually be expected to increase when more parts of a wetland are physically accessible.</t>
  </si>
  <si>
    <t>Bunn, S. and A. Arthington. 2002. Basic principles and ecological consequences of altered flow regimes for aquatic biodiversity. Environmental Management 30:492–507.</t>
  </si>
  <si>
    <t>Brown, J. 2007. Groundwater and Biodiversity Conservation.in A. Wyers, A. Aldous, and L. Bach, editors. A Methods Guide for Integrating Groundwater Needs of Ecosystems and Species into Conservation Plans in the Pacific Northwest. The Nature Conservancy, Portland, OR.</t>
  </si>
  <si>
    <t>Excessive human traffic and free-roaming pets can harm native amphibians directly (collecting and predation) and indirectly (habitat alteration), so measures to reduce such impacts are given credit.</t>
  </si>
  <si>
    <t>Bolenbaugh, J. R., D. G. Krementz, and S. E. Lehnen. 2011. Secretive marsh bird species co-occurrences and habitat associations across the Midwest, USA. Journal of Fish and Wildlife Management 2:49-60.</t>
  </si>
  <si>
    <t>Shepherd, P. C. F. and D. B. Lank. 2004. Marine and agricultural habitat preferences of dunlin wintering in British Columbia. Journal of Wildlife Management 68:61-73.</t>
  </si>
  <si>
    <r>
      <t>Sprague, A. J., D. J. Hamilton, and A. W. Diamond. 2008. Site safety and food affect movements of Semipalmated Sandpipers (</t>
    </r>
    <r>
      <rPr>
        <i/>
        <sz val="10"/>
        <rFont val="Arial Narrow"/>
        <family val="2"/>
      </rPr>
      <t>Calidris pusilla</t>
    </r>
    <r>
      <rPr>
        <sz val="10"/>
        <rFont val="Arial Narrow"/>
        <family val="2"/>
      </rPr>
      <t>) migrating through the upper Bay of Fundy. Avian Conservation and Ecology 3:1-22.</t>
    </r>
  </si>
  <si>
    <t>Frequent traffic by people and free-roaming pets can stress some waterbirds, so measures to reduce such impacts are given credit.</t>
  </si>
  <si>
    <t>Lokemoen, J. T. and R. O. Woodward. 1992. Nesting waterfowl and water birds on natural islands in the Dakotas and Montana. Wildlife Society Bulletin 20:163-171.</t>
  </si>
  <si>
    <t xml:space="preserve">Non-native plants that can reduce native plant richness tend to be more prevalent closer to population centers because many have been introduced intentionally or unintentionally by humans. </t>
  </si>
  <si>
    <t>Such features and practices minimize damage to plants and wildlife and thus help sustain the natural features that attract people to wetlands.</t>
  </si>
  <si>
    <t>Large water bodies often support high richness of wetland plants and animals, such that if a wetland is distant from a lake, recolonization of the wetland following impacts is likely to be slower.</t>
  </si>
  <si>
    <t>Scannell, P.W. 2009. Effects of copper on aquatic species: a review of the literature. Tech. Rept. No. 09-04. Alaska Dept. of Fish &amp; Game, Juneau, AK.</t>
  </si>
  <si>
    <t>ToxUp2</t>
  </si>
  <si>
    <t>Intermediate (1 - 10% of vegetated part of the AA).</t>
  </si>
  <si>
    <t>Many (e.g., wetland-upland "mosaic", &gt;10% of the vegetated AA).</t>
  </si>
  <si>
    <t>AVERAGE[Beaver, AVERAGE(Wettype, WoodAbove, AqPlantCov, Shade, IsoWet)]</t>
  </si>
  <si>
    <t>Most songbirds prefer to nest in drier parts of wetlands because ground cover and vegetation height, which provide essential structure, tend to be greater there.</t>
  </si>
  <si>
    <t xml:space="preserve"> #</t>
  </si>
  <si>
    <t>Rationales</t>
  </si>
  <si>
    <t xml:space="preserve">Hirsch, R. M., J. F. Walker, J. C. Day, and R. Kollio. 1990. The influence of man on hydrologic systems. Pages 329–359 in M. G. Wolaman and H. C. Riggs, editors. Surface Water Hydrology. Geological Society of America, Boulder, CO. </t>
  </si>
  <si>
    <t>Live Store</t>
  </si>
  <si>
    <t>5-30% of the ponded water.</t>
  </si>
  <si>
    <t>30-70% of the ponded water.</t>
  </si>
  <si>
    <t>70-99% of the ponded water.</t>
  </si>
  <si>
    <t>Dry Intercept</t>
  </si>
  <si>
    <t>Wet Intercept</t>
  </si>
  <si>
    <t>Methane Limit</t>
  </si>
  <si>
    <t>Frozen Duration</t>
  </si>
  <si>
    <t>Nutrient Availability</t>
  </si>
  <si>
    <t>Export Potential</t>
  </si>
  <si>
    <t>Vitt, D. H. 2006. Functional characteristics and indicators of boreal peatlands. Pages 9-24 in R. K. Wieder and D. H. Vitt, editors. Boreal peatland ecosystems. Springer, Berlin, Heidelberg, Germany.</t>
  </si>
  <si>
    <t>Wright, J. P., A. S. Flecker, and C. G. Jones. 2003. Local versus landscape controls on plant species richness in beaver meadows. Ecology 84:3162–3173.</t>
  </si>
  <si>
    <t>Stain3</t>
  </si>
  <si>
    <t>Infiltration, which enhances deposition of sediment-bound P, is potentially greater in areas where water and soils do not remain frozen for long periods. However, cold temperatures slow the decomposition of plant material and increase the retention of P in accumulating peat.</t>
  </si>
  <si>
    <t>Intercept Dry</t>
  </si>
  <si>
    <t>Intercept Wet</t>
  </si>
  <si>
    <t>Adsorption</t>
  </si>
  <si>
    <t>Desorption</t>
  </si>
  <si>
    <t>Organic</t>
  </si>
  <si>
    <t>Historical Accumulation</t>
  </si>
  <si>
    <t>Current Productivity:</t>
  </si>
  <si>
    <t>AVERAGE(Frozen Duration, Plant Cover, Nutrient Availability) WHERE:</t>
  </si>
  <si>
    <t>Stressors (lack of)</t>
  </si>
  <si>
    <t>Convenience</t>
  </si>
  <si>
    <t>Recreation Potential</t>
  </si>
  <si>
    <t>AVERAGE(ISOwet, SatPct, Fluctu, MAX(SeasWpct, PermWpct), Depth, DepthEven)</t>
  </si>
  <si>
    <t>Fish13A</t>
  </si>
  <si>
    <t>DecidTree5</t>
  </si>
  <si>
    <t>DecidTree8</t>
  </si>
  <si>
    <t>AVERAGE (AqPlantCov, Decid, DecidTree, Gcover, Depth)</t>
  </si>
  <si>
    <t>Plant Cover &amp; Type</t>
  </si>
  <si>
    <t>Select one:</t>
  </si>
  <si>
    <t>1-25% of the AA's perimeter abuts upland (including filled areas). The rest adjoins other wetlands or water that is mostly wider than the AA.</t>
  </si>
  <si>
    <t>25-50% of the AA's perimeter abuts upland. The rest adjoins other wetlands or water that is mostly wider than the AA.</t>
  </si>
  <si>
    <t>50-75% of the AA's perimeter abuts upland. The rest adjoins other wetlands or water that is mostly wider than the AA.</t>
  </si>
  <si>
    <t>Upland Edge Contact</t>
  </si>
  <si>
    <t>AVERAGE [PermWpct, SatPct, SeasPct, Fluctu,GroundW) ]</t>
  </si>
  <si>
    <t>WetPctCA2</t>
  </si>
  <si>
    <t>Slowed Decomposition</t>
  </si>
  <si>
    <t>In calculations, if wetland is associated with a lake it counts positively; if not, this indicator is ignored in the calculations.</t>
  </si>
  <si>
    <t>LakePU</t>
  </si>
  <si>
    <t>Ibird12v</t>
  </si>
  <si>
    <t>The capacity to support a diversity or abundance of pollinating insects, such as bees, wasps, flies, butterflies, moths, and beetles.</t>
  </si>
  <si>
    <t>AVERAGE(RecreaPoten, BMPsoils, BMPwildlife, LakePU)</t>
  </si>
  <si>
    <t>Rounds, S. A. 2007. Temperature Effects of Weight Sources, Riparian Shading, and Dam Operations on the Willamette River, Oregon. Scientific Investigations Report 2007–5185. U.S. Department of the Interior, U.S. Geological Survey, Portland, OR.</t>
  </si>
  <si>
    <t>Condition Choices</t>
  </si>
  <si>
    <t>Siegel, D. I. and P. H. Glaser. 1987. Groundwater flow in a bog-fen complex, Lost River Peatland, northern Minnesota. The Journal of Ecology 75:743-754.</t>
  </si>
  <si>
    <t>Lacustrine wetlands are more likely than bogs or fens to be phosphorus-limited (Walbridge &amp; Navaratnam 2006), and thus should be more able to take up and retain phosphorus.</t>
  </si>
  <si>
    <t>Function          Indicators</t>
  </si>
  <si>
    <t>Unvegetated Surface in the Contributing Area</t>
  </si>
  <si>
    <t>Function Score for Organic Nutrient Export</t>
  </si>
  <si>
    <t>Slightly bare ground (5-20% bare between plants) is visible in places, but those areas comprise less than 5% of the unflooded parts of the AA.</t>
  </si>
  <si>
    <r>
      <t xml:space="preserve">Much bare ground (20-50% bare between plants) is visible in places, and those areas comprise </t>
    </r>
    <r>
      <rPr>
        <b/>
        <sz val="10"/>
        <rFont val="Arial Narrow"/>
        <family val="2"/>
      </rPr>
      <t>more than</t>
    </r>
    <r>
      <rPr>
        <sz val="10"/>
        <rFont val="Arial Narrow"/>
        <family val="2"/>
      </rPr>
      <t xml:space="preserve"> 5% of the unflooded parts of the AA. </t>
    </r>
  </si>
  <si>
    <t>Wetland Sensitivity (Sens)</t>
  </si>
  <si>
    <r>
      <t xml:space="preserve">This directly estimates the relative amount of </t>
    </r>
    <r>
      <rPr>
        <b/>
        <sz val="10"/>
        <rFont val="Arial Narrow"/>
        <family val="2"/>
      </rPr>
      <t>vertical</t>
    </r>
    <r>
      <rPr>
        <sz val="10"/>
        <rFont val="Arial Narrow"/>
        <family val="2"/>
      </rPr>
      <t xml:space="preserve"> space in which precipitation and runoff are being stored, at least temporarily. </t>
    </r>
    <r>
      <rPr>
        <i/>
        <sz val="10"/>
        <rFont val="Arial Narrow"/>
        <family val="2"/>
      </rPr>
      <t>In calculations, is excluded automatically (cell goes blank) if wetland never has surface water during an average year.</t>
    </r>
  </si>
  <si>
    <r>
      <t xml:space="preserve">Suspended sediment is more likely to be filtered and stranded in vegetation if water levels fluctuate. However, in some soil types, large water level fluctuations cause erosion that results in more sediment being exported than retained. </t>
    </r>
    <r>
      <rPr>
        <i/>
        <sz val="10"/>
        <rFont val="Arial Narrow"/>
        <family val="2"/>
      </rPr>
      <t>In calculations, is excluded automatically (cell goes blank) if wetland never has surface water during an average year or if surface water is permanent (i.e., must have at least a seasonal-only zone in order to have water fluctuation).</t>
    </r>
  </si>
  <si>
    <r>
      <t xml:space="preserve">Deeper waters usually imply slower water velocity, longer water detention time, more space for storing deposited sediments over time, and reduced likelihood of deposited sediments being resuspended by wind mixing or currents (Evans &amp; Rigler 1983, Nolen et al. 1985). However, vegetation density is usually greater in shallow wetlands, providing other opportunities to filter and stabilize (with roots systems) suspended sediments. </t>
    </r>
    <r>
      <rPr>
        <i/>
        <sz val="10"/>
        <rFont val="Arial Narrow"/>
        <family val="2"/>
      </rPr>
      <t xml:space="preserve">In calculations, is excluded automatically (cell goes blank) if wetland never has surface water during an average year. </t>
    </r>
  </si>
  <si>
    <r>
      <t xml:space="preserve">Greater interspersion of open water and vegetation should allow more contact between plants and moving sediment-bearing water, resulting in greater deposition of suspended sediment. </t>
    </r>
    <r>
      <rPr>
        <i/>
        <sz val="10"/>
        <rFont val="Arial Narrow"/>
        <family val="2"/>
      </rPr>
      <t>In calculations, is excluded automatically (cell goes blank) if wetland never has surface water during an average year, or if there is no ponded water, or if ponded water but no vegetation, or if ponded but no open water.</t>
    </r>
  </si>
  <si>
    <r>
      <t xml:space="preserve">Greater interspersion of open water and vegetation is hypothesized to support greater sediment and phosphorus removal. That is because plants assist the deposition of suspended sediment which contains P, while open water areas tend to be more aerobic which immobilizes P in the deposited sediment. </t>
    </r>
    <r>
      <rPr>
        <i/>
        <sz val="10"/>
        <rFont val="Arial Narrow"/>
        <family val="2"/>
      </rPr>
      <t>In calculations, is excluded automatically (cell goes blank) if wetland never has surface water during an average year, if no ponded water, if ponded water but no vegetation, or if ponded but no open water.</t>
    </r>
  </si>
  <si>
    <r>
      <t xml:space="preserve">Like a constricted outlet, vegetation and other obstacles create a "roughness" within a wetland that can slow the water and allow phosphorus adsorbed to sediment particles to be deposited. This is much truer if the vegetation intercepts a large proportion of the flow during high-flow periods (i.e., is not merely along an upland edge that never floods). Although tall and stiff vegetation provides the most resistance and thus may be more effective at allowing sediment to be deposited, it often tends to have less ground cover, so the net effect is uncertain in some wetlands. Water takes longer to move through complex channel networks (e.g., braided or sinuous) which themselves provide additional friction, thus allowing more suspended sediment and the phosphorus associated with it to be deposited. Wetlands with a sheet flow pattern often retain more total phosphorus than channelized systems (Morris et al. 1981, Knox et al. 2008). </t>
    </r>
    <r>
      <rPr>
        <i/>
        <sz val="10"/>
        <rFont val="Arial Narrow"/>
        <family val="2"/>
      </rPr>
      <t>In calculations, is excluded automatically (cell goes blank) if wetland never has surface water during an average year or if no surface inflows.</t>
    </r>
  </si>
  <si>
    <t>Phosphorus commonly adsorbs to suspended sediment, and wetlands that comprise a large proportion of their contributing area are more effective for retaining sediment in runoff, and thus phosphorus.</t>
  </si>
  <si>
    <r>
      <t>The need for (and value of) phosphorus retention capacity (which is potentially provided by wetlands) is greater when upland runoff is rapid and erosive, with the potential to contribute much sediment and associated P. This occurs when much of the contributing area contains impervious surface. Other factors being equal, wetlands in developed watersheds (with little remaining natural cover) tend to receive higher loads of phosphorus. Even if the only watershed disturbance is logging, a typical post-logging shift from coniferous or mixed vegetation to deciduous vegetation can contribute 40% more phosphorus to streams and alters the seasonal timing of the inputs and light availability (Roberts &amp; Bilby 2009).</t>
    </r>
    <r>
      <rPr>
        <i/>
        <sz val="10"/>
        <rFont val="Arial Narrow"/>
        <family val="2"/>
      </rPr>
      <t xml:space="preserve"> In calculations, is excluded automatically (cell goes blank) if wetland is larger than its contributing area.</t>
    </r>
  </si>
  <si>
    <r>
      <t>Annual plant productivity (and thus potentially-storable carbon) is often less in ponded wetlands than in wetlands where periodic water circulation replenishes nutrients (Thormann &amp; Bayley 1997). Also, methane emissions may be higher in ponded areas because such areas are more likely to develop anaerobic conditions (Magenheimer et al. 1996, Tranvik et al. 2009). Aerobic conditions can increase the proportion of plant production that is allocated to belowground tissue, which benefits carbon storage because such tissue is more likely to resist erosion and be incorporated into longterm storage in soil. However, organic matter in ponded areas is less subject than organic matter in channels to being transported downslope in floodwaters or groundwater and thus could be more likely to become incorporated into soils, resulting in carbon being sequestered.</t>
    </r>
    <r>
      <rPr>
        <i/>
        <sz val="10"/>
        <rFont val="Arial Narrow"/>
        <family val="2"/>
      </rPr>
      <t xml:space="preserve"> In calculations, is excluded automatically (cell goes blank) if wetland never has surface water during an average year.</t>
    </r>
  </si>
  <si>
    <r>
      <t xml:space="preserve">Large woody debris helps protect young fish from aerial predators and provides cooler water preferred by salmonids. </t>
    </r>
    <r>
      <rPr>
        <i/>
        <sz val="10"/>
        <rFont val="Arial Narrow"/>
        <family val="2"/>
      </rPr>
      <t xml:space="preserve">In calculations, is excluded automatically (cell goes blank) if wetland never has open surface water during an average year. </t>
    </r>
  </si>
  <si>
    <r>
      <t xml:space="preserve">Provided that they hold surface water for several weeks, shallow areas support greater primary production, support higher vascular plant densities, and consequently greater invertebrate production. </t>
    </r>
    <r>
      <rPr>
        <i/>
        <sz val="10"/>
        <rFont val="Arial Narrow"/>
        <family val="2"/>
      </rPr>
      <t xml:space="preserve">In calculations, is excluded automatically (cell goes blank) if wetland never has surface water during an average year. </t>
    </r>
  </si>
  <si>
    <r>
      <t xml:space="preserve">Wider vegetated areas provide more area for phosphorus adsorbed to sediment particles in runoff to be filtered and deposited. Where phosphorus is mainly attached to sediment (as often it is), then buffer widths sufficient for sediment retention (generally 10-30 ft) may be almost as effective for retaining phosphorus (White et al. 2007). But if phosphorus is mostly in dissolved form (orthophosphate, or soluble reactive phosphorus), then vegetated buffers may need to be very large or may not be effective at all (Prepas et al. 2001, Hoffman et al. 2009). </t>
    </r>
    <r>
      <rPr>
        <i/>
        <sz val="10"/>
        <rFont val="Arial Narrow"/>
        <family val="2"/>
      </rPr>
      <t>In calculations, is excluded automatically (cell goes blank) if wetland never has surface water during an average year, or has no open water.</t>
    </r>
  </si>
  <si>
    <r>
      <t>When water and vegetation (especially woody or other robust vegetation) are moderately interspersed, this provides more extensive feeding areas for many wetland-dependent songbirds and raptors.</t>
    </r>
    <r>
      <rPr>
        <i/>
        <sz val="10"/>
        <rFont val="Arial Narrow"/>
        <family val="2"/>
      </rPr>
      <t xml:space="preserve"> In calculations, is excluded automatically (cell goes blank) if wetland never has surface water during an average year, if no ponded water, if ponded water but no vegetation, if ponded but no open water.</t>
    </r>
  </si>
  <si>
    <r>
      <t>The model considers the presence (1) of this condition to indicate a somewhat degraded condition, but does not consider the absence (0) of this indicator a sign that a wetland is necessarily undegraded, so</t>
    </r>
    <r>
      <rPr>
        <i/>
        <sz val="10"/>
        <rFont val="Arial Narrow"/>
        <family val="2"/>
      </rPr>
      <t xml:space="preserve"> if the condition is absent, the score is changed to blank and is not used by the model.</t>
    </r>
  </si>
  <si>
    <t>Asada, T., &amp; B. G. Warner. 2005. Surface peat mass and carbon balance in a hypermaritime peatland. Soil Science Society of America Journal 69(2): 549-562.</t>
  </si>
  <si>
    <t>Weight</t>
  </si>
  <si>
    <t>Data  x  Weight</t>
  </si>
  <si>
    <t>Walbridge, M. R. and J. A. Navaratnam. 2006. Phosphorous in boreal peatlands. Pages 231-258 in R. K. Wieder and D. H. Vitt, editors. Boreal Peatland Ecosystems, Ecological Studies, Volume 188. Springer, Berlin, Heidelberg, Germany.</t>
  </si>
  <si>
    <r>
      <t>Wetlands that lack outlets retain all phosphorus that enters them. Wetlands that connect to downslope water bodies for only part of the year may export less phosphorus annually than those with persistent outflow.</t>
    </r>
    <r>
      <rPr>
        <i/>
        <sz val="10"/>
        <rFont val="Arial Narrow"/>
        <family val="2"/>
      </rPr>
      <t xml:space="preserve"> In calculations, is excluded automatically (cell goes blank) if wetland never has surface water during an average year.</t>
    </r>
  </si>
  <si>
    <t>Function               Indicators</t>
  </si>
  <si>
    <t>Poff, N. L., B. P. Bledsoe, and C. O. Cuhaciyan. 2006. Hydrologic variation with land use across the contiguous United States: Geomorphic and ecological consequences for stream ecosystems. Geomorphology 79:264–285.</t>
  </si>
  <si>
    <t>Dickman, M. and G. Rygiel. 1998. Municipal landfill impacts on a natural stream located in an urban wetland in regional Niagara, Ontario. The Canadian Field-Naturalist 112:619-630.</t>
  </si>
  <si>
    <t>Chadwick, D. R., B. J. Chambers, S. Anthony, P. M. Haygarth, D. Harris, and K. Smith. 2006. A measure centric approach to diffuse pollution modelling and cost curve analysis of mitigation methods. Cost-effectiveness of Best Management Practices (BMPs)? Pages 92-99 in L. Gairns, K. Chrighton, and B. Jeffrey, editors. Agriculture and the Environment VI -  Managing Rural Diffuse Pollution: Proceedings of the SAC and SEPA Biennial Conference, Edinburgh University, Edinburgh, UK, 6 April 2006. International Water Association, London, UK.</t>
  </si>
  <si>
    <r>
      <t xml:space="preserve">Persistent surface water is essential to resident fish in isolated wetlands, and is important to resident fish even in wetlands that connect seasonally to other water bodies. </t>
    </r>
    <r>
      <rPr>
        <i/>
        <sz val="10"/>
        <rFont val="Arial Narrow"/>
        <family val="2"/>
      </rPr>
      <t xml:space="preserve">In calculations, is excluded automatically (cell goes blank) if wetland never has surface water during an average year. </t>
    </r>
  </si>
  <si>
    <r>
      <t xml:space="preserve">Most resident fish spend much of their time in deeper water because of the cover it provides. Wetlands with deeper water provide more habitat space. </t>
    </r>
    <r>
      <rPr>
        <i/>
        <sz val="10"/>
        <rFont val="Arial Narrow"/>
        <family val="2"/>
      </rPr>
      <t xml:space="preserve">In calculations, is excluded automatically (cell goes blank) if wetland never has surface water during an average year. </t>
    </r>
  </si>
  <si>
    <r>
      <t xml:space="preserve">Life histories of resident fish are closely synchronized to natural hydrologic patterns. Wetlands where that has been disrupted will have lower capacity to support resident fish. </t>
    </r>
    <r>
      <rPr>
        <i/>
        <sz val="10"/>
        <rFont val="Arial Narrow"/>
        <family val="2"/>
      </rPr>
      <t>In calculations, is excluded automatically (cell goes blank) if wetland has no surface inflows.</t>
    </r>
  </si>
  <si>
    <r>
      <t xml:space="preserve">Aquatic plants provide cover for fish and in some cases the associated shading helps maintain cool water temperature. However, as they decay beneath winter ice, they can deprive fish of necessary oxygen. </t>
    </r>
    <r>
      <rPr>
        <i/>
        <sz val="10"/>
        <rFont val="Arial Narrow"/>
        <family val="2"/>
      </rPr>
      <t xml:space="preserve">In calculations, is excluded automatically (cell goes blank) if wetland never has ponded surface water during an average year. </t>
    </r>
  </si>
  <si>
    <r>
      <t>Greater interspersion of open water with vegetation provides resident fish with greater access to food sources, such as insects falling off emergent plants.</t>
    </r>
    <r>
      <rPr>
        <i/>
        <sz val="10"/>
        <rFont val="Arial Narrow"/>
        <family val="2"/>
      </rPr>
      <t xml:space="preserve"> In calculations, is excluded automatically (cell goes blank) if wetland never has surface water during an average year, if no ponded water, if ponded water but no vegetation, if ponded but no open water.</t>
    </r>
  </si>
  <si>
    <r>
      <t>Diffuse flow paths and large spatial complexity of channels within a wetland support a wider variety of microhabitats for fish and their invertebrate foods.</t>
    </r>
    <r>
      <rPr>
        <i/>
        <sz val="10"/>
        <rFont val="Arial Narrow"/>
        <family val="2"/>
      </rPr>
      <t xml:space="preserve"> In calculations, is excluded automatically (cell goes blank) if wetland never has surface water during an average year or if no surface inflows.</t>
    </r>
  </si>
  <si>
    <t>May, C. W. 2003. Stream-Riparian Ecosystems In the Puget Sound Lowland Eco-Region. A Review of Best Available Science. Watershed Ecology, LLC, Poulsbo, WA.</t>
  </si>
  <si>
    <t>Murphy, M. L., C. P. Hawkins, and N. H. Anderson. 1981. Effects of canopy modification and accumulated sediment on stream communities. Transactions of the American Fisheries Society 110:469-478.</t>
  </si>
  <si>
    <r>
      <t xml:space="preserve">Wider bands of wetland vegetation help protect a wetland's open waters from contaminants carried in from adjoining uplands. Wider bands of wetland vegetation also provide better cover for young frogs and salamanders as they transition to upland nonbreeding areas. </t>
    </r>
    <r>
      <rPr>
        <i/>
        <sz val="10"/>
        <rFont val="Arial Narrow"/>
        <family val="2"/>
      </rPr>
      <t>In calculations, is excluded automatically (cell goes blank) if wetland never has surface water during an average year, or has no open water.</t>
    </r>
  </si>
  <si>
    <r>
      <t xml:space="preserve">Large woody debris helps protect frogs and aquatic salamanders from aerial predators, and provides important basking sites. </t>
    </r>
    <r>
      <rPr>
        <i/>
        <sz val="10"/>
        <rFont val="Arial Narrow"/>
        <family val="2"/>
      </rPr>
      <t>In calculations, is excluded automatically (cell goes blank) if wetland never has surface water during an average year, or no open water.</t>
    </r>
  </si>
  <si>
    <r>
      <t xml:space="preserve">Shallower water depths support greater aquatic productivity and thus are attractive to many feeding waterbirds. </t>
    </r>
    <r>
      <rPr>
        <i/>
        <sz val="10"/>
        <rFont val="Arial Narrow"/>
        <family val="2"/>
      </rPr>
      <t xml:space="preserve">In calculations, is excluded automatically (cell goes blank) if wetland never has surface water during an average year. </t>
    </r>
  </si>
  <si>
    <r>
      <t xml:space="preserve">Different waterbird species prefer feeding in different water depths, so a diversity of depth classes in a wetland is likely to support a more varied mix of feeding birds. </t>
    </r>
    <r>
      <rPr>
        <i/>
        <sz val="10"/>
        <rFont val="Arial Narrow"/>
        <family val="2"/>
      </rPr>
      <t xml:space="preserve">In calculations, is excluded automatically (cell goes blank) if wetland never has surface water during an average year. </t>
    </r>
  </si>
  <si>
    <r>
      <t xml:space="preserve">Most waterbirds situate their nests on or near persistent water. However, wetlands that flood only seasonally often provide more food and cover for young. </t>
    </r>
    <r>
      <rPr>
        <i/>
        <sz val="10"/>
        <rFont val="Arial Narrow"/>
        <family val="2"/>
      </rPr>
      <t xml:space="preserve">In calculations, is excluded automatically (cell goes blank) if wetland never has surface water during an average year. </t>
    </r>
  </si>
  <si>
    <r>
      <t xml:space="preserve">Large water level fluctuations during the nesting season (late spring and early summer), can flood the nests of birds that nest along wetland edges. However, annual fluctuations (described here) do not necessarily parallel propensity of water levels to fluctuate during the nesting season, and can stimulate wetland productivity. </t>
    </r>
    <r>
      <rPr>
        <i/>
        <sz val="10"/>
        <rFont val="Arial Narrow"/>
        <family val="2"/>
      </rPr>
      <t>In calculations, is excluded automatically (cell goes blank) if wetland never has surface water during an average year, or if none of it floods only seasonally.</t>
    </r>
  </si>
  <si>
    <r>
      <t xml:space="preserve">Most waterbirds prefer depths of 1- 2 ft. Wetlands with greater depths will nonetheless usually have some portion of their area in this and shallower depth classes. Even the shallowest areas are important to many species. </t>
    </r>
    <r>
      <rPr>
        <i/>
        <sz val="10"/>
        <rFont val="Arial Narrow"/>
        <family val="2"/>
      </rPr>
      <t xml:space="preserve">In calculations, is excluded automatically (cell goes blank) if wetland never has surface water during an average year. </t>
    </r>
  </si>
  <si>
    <r>
      <t xml:space="preserve">Different waterbird species prefer different water depths, so a diversity of depth classes in a wetland is likely to support a more varied mix of waterbirds. </t>
    </r>
    <r>
      <rPr>
        <i/>
        <sz val="10"/>
        <rFont val="Arial Narrow"/>
        <family val="2"/>
      </rPr>
      <t xml:space="preserve">In calculations, is excluded automatically (cell goes blank) if wetland never has surface water during an average year. </t>
    </r>
  </si>
  <si>
    <r>
      <t xml:space="preserve">Waterbird nests located in narrow wetlands may be more vulnerable to predation. </t>
    </r>
    <r>
      <rPr>
        <i/>
        <sz val="10"/>
        <rFont val="Arial Narrow"/>
        <family val="2"/>
      </rPr>
      <t>In calculations, is excluded automatically (cell goes blank) if wetland never has surface water during an average year, or has no open water.</t>
    </r>
  </si>
  <si>
    <r>
      <t xml:space="preserve">Most wetland birds tend to feed more in ponded areas than along channels. If these isolated pools areas persist well into the summer, they allow waterbird populations to establish more breeding territories within the site, as well as concentrating invertebrate foods. </t>
    </r>
    <r>
      <rPr>
        <i/>
        <sz val="10"/>
        <rFont val="Arial Narrow"/>
        <family val="2"/>
      </rPr>
      <t xml:space="preserve">In calculations, is excluded automatically (cell goes blank) if wetland never has surface water during an average year. </t>
    </r>
  </si>
  <si>
    <r>
      <t>Waterfowl nests on Islands that are inaccessible to mammalian predators are more successful (Loekmoen &amp; Woodward 1992).</t>
    </r>
    <r>
      <rPr>
        <i/>
        <sz val="10"/>
        <rFont val="Arial Narrow"/>
        <family val="2"/>
      </rPr>
      <t xml:space="preserve"> In calculations, is excluded automatically (cell goes blank) if wetland lacks an island, but if island is present, it counts as a positive.</t>
    </r>
  </si>
  <si>
    <r>
      <t xml:space="preserve">Large-diameter trees are more important because of their potential to provide rookeries for herons and nest cavities for a few waterbird species, e.g., hooded merganser. Such trees may be used even when located a considerable distance from the wetland. </t>
    </r>
    <r>
      <rPr>
        <i/>
        <sz val="10"/>
        <rFont val="Arial Narrow"/>
        <family val="2"/>
      </rPr>
      <t>In calculations, is excluded automatically (cell goes blank) if wetland has few or no trees.</t>
    </r>
  </si>
  <si>
    <t>Rich, A. C., D. S. Dobkin, and L. J. Niles. 1994. Defining forest fragmentation by corridor width: the influence of narrow forest-dividing corridors on forest-nesting birds in southern New Jersey. Conservation Biology 8:1109-1121.</t>
  </si>
  <si>
    <t>St. Clair, C. C., M. Bélisle, A. Desrochers, and S. Hannon. 1998. Winter responses of forest birds to habitat corridors and gaps. Conservation Ecology 2:1-13 Online:  http://www.consecol.org/vol12/iss12/art13/.</t>
  </si>
  <si>
    <t>Mahaney, W. M., D. H. Wardrop, and R. P. Brooks. 2005. Impacts of sedimentation and nitrogen enrichment on wetland plant community structure. Plant Ecology 175:227-243.</t>
  </si>
  <si>
    <r>
      <t xml:space="preserve">With regard to submersed aquatic plants, shallower areas generally have greater plant richness due to greater availability of light and sediment oxygen. </t>
    </r>
    <r>
      <rPr>
        <i/>
        <sz val="10"/>
        <rFont val="Arial Narrow"/>
        <family val="2"/>
      </rPr>
      <t xml:space="preserve">In calculations, is excluded automatically (cell goes blank) if wetland never has surface water during an average year. </t>
    </r>
  </si>
  <si>
    <t>If accessible, wetlands closer to population centers are likely to be visited by more people on foot.</t>
  </si>
  <si>
    <t>Loomis, P. and R. Liebermann. 2006. Biological Impacts of Off-Road Vehicles in Alaska: A Literature Review Denali National Park and Preserve, Denali National Park and Preserve, AK.</t>
  </si>
  <si>
    <t>Petrone, R., K. DeVito, S. Kaufman, M. L. MacRae, and J. M. Waddington. 2005. Potential carbon losses from boreal ponds and riparian areas: influence of temperature and drought. Pages 10-18 in L. Heathwaite, B. Webb, D. Rosenberry, D. Weaver, and M. Hayash, editors. Dynamics and Biogeochemistry of River Corridors and Wetlands: Proceedings of Symposium held during the Seventh  IAHS Scientific Assembly. IAHS International Commission on Water Quality, IAHS International Commission on Science, Wallingford, Oxfordshire, UK.</t>
  </si>
  <si>
    <t>Sum=</t>
  </si>
  <si>
    <t xml:space="preserve">Wetland Types - Adjoining or Subordinate </t>
  </si>
  <si>
    <t>Height Class Interspersion</t>
  </si>
  <si>
    <t>Large Snags (Dead Standing Trees)</t>
  </si>
  <si>
    <t>Ponded Open Water - Minimum Size</t>
  </si>
  <si>
    <r>
      <t xml:space="preserve">In ducks-eye aerial view, the percentage of the ponded water that is </t>
    </r>
    <r>
      <rPr>
        <b/>
        <sz val="10"/>
        <rFont val="Arial Narrow"/>
        <family val="2"/>
      </rPr>
      <t>open</t>
    </r>
    <r>
      <rPr>
        <sz val="10"/>
        <rFont val="Arial Narrow"/>
        <family val="2"/>
      </rPr>
      <t xml:space="preserve"> (lacking emergent vegetation during most of the growing season, and unhidden by a forest or shrub canopy) is:</t>
    </r>
  </si>
  <si>
    <t xml:space="preserve">100% of the ponded water. </t>
  </si>
  <si>
    <t>Robust Emergents</t>
  </si>
  <si>
    <r>
      <t xml:space="preserve">The percentage </t>
    </r>
    <r>
      <rPr>
        <b/>
        <sz val="10"/>
        <rFont val="Arial Narrow"/>
        <family val="2"/>
      </rPr>
      <t>of the emergent vegetation</t>
    </r>
    <r>
      <rPr>
        <sz val="10"/>
        <rFont val="Arial Narrow"/>
        <family val="2"/>
      </rPr>
      <t xml:space="preserve"> cover in the AA that is cattail (</t>
    </r>
    <r>
      <rPr>
        <i/>
        <sz val="10"/>
        <rFont val="Arial Narrow"/>
        <family val="2"/>
      </rPr>
      <t>Typha</t>
    </r>
    <r>
      <rPr>
        <sz val="10"/>
        <rFont val="Arial Narrow"/>
        <family val="2"/>
      </rPr>
      <t xml:space="preserve"> spp.), common reed (</t>
    </r>
    <r>
      <rPr>
        <i/>
        <sz val="10"/>
        <rFont val="Arial Narrow"/>
        <family val="2"/>
      </rPr>
      <t>Phragmites</t>
    </r>
    <r>
      <rPr>
        <sz val="10"/>
        <rFont val="Arial Narrow"/>
        <family val="2"/>
      </rPr>
      <t>), or tall (&gt;1m) bulrush is:</t>
    </r>
  </si>
  <si>
    <t>Persistent Deepwater Area</t>
  </si>
  <si>
    <t>Throughflow Resistance</t>
  </si>
  <si>
    <t>pH Measurement</t>
  </si>
  <si>
    <t>The pH in most of the AA's surface water:</t>
  </si>
  <si>
    <t>TDS and/or Conductivity</t>
  </si>
  <si>
    <t>More than 1% of the AA's previously vegetated area:</t>
  </si>
  <si>
    <t>Burn History</t>
  </si>
  <si>
    <t>Calcareous Fen</t>
  </si>
  <si>
    <t>Few or none that meet these criteria.</t>
  </si>
  <si>
    <r>
      <t xml:space="preserve">The number of downed wood pieces </t>
    </r>
    <r>
      <rPr>
        <b/>
        <sz val="10"/>
        <rFont val="Arial Narrow"/>
        <family val="2"/>
      </rPr>
      <t xml:space="preserve">longer than 2 m </t>
    </r>
    <r>
      <rPr>
        <sz val="10"/>
        <rFont val="Arial Narrow"/>
        <family val="2"/>
      </rPr>
      <t xml:space="preserve">and with diameter </t>
    </r>
    <r>
      <rPr>
        <b/>
        <sz val="10"/>
        <rFont val="Arial Narrow"/>
        <family val="2"/>
      </rPr>
      <t>&gt;10 cm,</t>
    </r>
    <r>
      <rPr>
        <sz val="10"/>
        <rFont val="Arial Narrow"/>
        <family val="2"/>
      </rPr>
      <t xml:space="preserve"> and not persistently submerged, is:</t>
    </r>
  </si>
  <si>
    <t>Several (&gt;5 if AA is &gt;5 hectares, less for smaller AAs) meet these criteria.</t>
  </si>
  <si>
    <t xml:space="preserve">&lt;5% of the vegetated part of the AA. </t>
  </si>
  <si>
    <t>% Bare Ground &amp; Thatch</t>
  </si>
  <si>
    <r>
      <t>Little or no (&lt;5%) </t>
    </r>
    <r>
      <rPr>
        <i/>
        <sz val="10"/>
        <rFont val="Arial Narrow"/>
        <family val="2"/>
      </rPr>
      <t>bare ground </t>
    </r>
    <r>
      <rPr>
        <sz val="10"/>
        <rFont val="Arial Narrow"/>
        <family val="2"/>
      </rPr>
      <t>is visible between erect stems or under canopy anywhere in the vegetated AA. Ground is extensively blanketed by dense thatch, moss, lichens, graminoids with great stem densities, or plants with ground-hugging foliage. </t>
    </r>
  </si>
  <si>
    <t xml:space="preserve">Ground Irregularity </t>
  </si>
  <si>
    <t xml:space="preserve">Shorebird Feeding Habitats </t>
  </si>
  <si>
    <t>Herbaceous % of Vegetated Wetland</t>
  </si>
  <si>
    <t xml:space="preserve">Forb Cover </t>
  </si>
  <si>
    <r>
      <t xml:space="preserve">Within parts of the AA having herbaceous cover (excluding SAV), the areal cover of </t>
    </r>
    <r>
      <rPr>
        <b/>
        <sz val="10"/>
        <rFont val="Arial Narrow"/>
        <family val="2"/>
      </rPr>
      <t>forbs</t>
    </r>
    <r>
      <rPr>
        <sz val="10"/>
        <rFont val="Arial Narrow"/>
        <family val="2"/>
      </rPr>
      <t xml:space="preserve"> reaches an annual maximum of:</t>
    </r>
  </si>
  <si>
    <t xml:space="preserve">&lt;5% of the herbaceous part of the AA. </t>
  </si>
  <si>
    <t xml:space="preserve">Sedge Cover </t>
  </si>
  <si>
    <t xml:space="preserve">Dominance of Most Abundant Herbaceous Species </t>
  </si>
  <si>
    <r>
      <t xml:space="preserve">The percentage of the AA that </t>
    </r>
    <r>
      <rPr>
        <u/>
        <sz val="10"/>
        <rFont val="Arial Narrow"/>
        <family val="2"/>
      </rPr>
      <t xml:space="preserve">never </t>
    </r>
    <r>
      <rPr>
        <sz val="10"/>
        <rFont val="Arial Narrow"/>
        <family val="2"/>
      </rPr>
      <t>contains</t>
    </r>
    <r>
      <rPr>
        <u/>
        <sz val="10"/>
        <rFont val="Arial Narrow"/>
        <family val="2"/>
      </rPr>
      <t xml:space="preserve"> surface</t>
    </r>
    <r>
      <rPr>
        <sz val="10"/>
        <rFont val="Arial Narrow"/>
        <family val="2"/>
      </rPr>
      <t xml:space="preserve"> water during an average year (that is, except perhaps for a few hours after snowmelt or rainstorms), but which is still a wetland, is:</t>
    </r>
  </si>
  <si>
    <t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t>
  </si>
  <si>
    <t>&gt;95% of the AA. True for many fringe wetlands.</t>
  </si>
  <si>
    <t>% of Summertime Water that Is Shaded</t>
  </si>
  <si>
    <t>&lt;5% of the water is shaded, or no surface water is present then.</t>
  </si>
  <si>
    <r>
      <t xml:space="preserve">% of AA that is Flooded </t>
    </r>
    <r>
      <rPr>
        <b/>
        <sz val="11"/>
        <rFont val="Arial Narrow"/>
        <family val="2"/>
      </rPr>
      <t xml:space="preserve">Only </t>
    </r>
    <r>
      <rPr>
        <sz val="11"/>
        <rFont val="Arial Narrow"/>
        <family val="2"/>
      </rPr>
      <t>Seasonally</t>
    </r>
  </si>
  <si>
    <t xml:space="preserve">&gt;95% of the AA. </t>
  </si>
  <si>
    <t>During most of the time when surface water is present during the growing season, its depth, averaged over the entire inundated part of the AA, is:</t>
  </si>
  <si>
    <t>Depth Classes - Evenness of Proportions</t>
  </si>
  <si>
    <r>
      <t xml:space="preserve">When present, surface water in </t>
    </r>
    <r>
      <rPr>
        <b/>
        <sz val="10"/>
        <rFont val="Arial Narrow"/>
        <family val="2"/>
      </rPr>
      <t>most</t>
    </r>
    <r>
      <rPr>
        <sz val="10"/>
        <rFont val="Arial Narrow"/>
        <family val="2"/>
      </rPr>
      <t xml:space="preserve"> of the AA usually consists of (select one):</t>
    </r>
  </si>
  <si>
    <t>Width of Vegetated Zone within Wetland</t>
  </si>
  <si>
    <r>
      <t>At the time during the growing season when the AA's water level is lowest, the average width of vegetated area</t>
    </r>
    <r>
      <rPr>
        <u/>
        <sz val="10"/>
        <rFont val="Arial Narrow"/>
        <family val="2"/>
      </rPr>
      <t xml:space="preserve"> </t>
    </r>
    <r>
      <rPr>
        <b/>
        <u/>
        <sz val="10"/>
        <rFont val="Arial Narrow"/>
        <family val="2"/>
      </rPr>
      <t xml:space="preserve">in </t>
    </r>
    <r>
      <rPr>
        <u/>
        <sz val="10"/>
        <rFont val="Arial Narrow"/>
        <family val="2"/>
      </rPr>
      <t>the AA</t>
    </r>
    <r>
      <rPr>
        <sz val="10"/>
        <rFont val="Arial Narrow"/>
        <family val="2"/>
      </rPr>
      <t xml:space="preserve"> that separates adjoining uplands from open water within the AA is:</t>
    </r>
  </si>
  <si>
    <t>Clumped. More than 70% of such vegetation is in bands along the wetland perimeter or is clumped at one or a few sides of the surface water area.</t>
  </si>
  <si>
    <t xml:space="preserve">Floating Algae &amp; Duckweed </t>
  </si>
  <si>
    <t>Tributary Channel</t>
  </si>
  <si>
    <r>
      <t xml:space="preserve">Input </t>
    </r>
    <r>
      <rPr>
        <sz val="11"/>
        <rFont val="Arial Narrow"/>
        <family val="2"/>
      </rPr>
      <t>Water Temperature</t>
    </r>
  </si>
  <si>
    <t>Channel Connection &amp; Outflow Duration</t>
  </si>
  <si>
    <t xml:space="preserve">Outflow Confinement </t>
  </si>
  <si>
    <r>
      <t>During major runoff events, in the places where</t>
    </r>
    <r>
      <rPr>
        <b/>
        <sz val="10"/>
        <rFont val="Arial Narrow"/>
        <family val="2"/>
      </rPr>
      <t xml:space="preserve"> surface</t>
    </r>
    <r>
      <rPr>
        <sz val="10"/>
        <rFont val="Arial Narrow"/>
        <family val="2"/>
      </rPr>
      <t xml:space="preserve"> water exits the AA or connected waters nearby, the water:</t>
    </r>
  </si>
  <si>
    <t>Beaver Probability</t>
  </si>
  <si>
    <t>Groundwater Strength of Evidence</t>
  </si>
  <si>
    <r>
      <t xml:space="preserve">The gradient along most of the flow path </t>
    </r>
    <r>
      <rPr>
        <b/>
        <sz val="10"/>
        <rFont val="Arial Narrow"/>
        <family val="2"/>
      </rPr>
      <t xml:space="preserve">within </t>
    </r>
    <r>
      <rPr>
        <sz val="10"/>
        <rFont val="Arial Narrow"/>
        <family val="2"/>
      </rPr>
      <t>the AA is:</t>
    </r>
  </si>
  <si>
    <t xml:space="preserve">Buffer Slope </t>
  </si>
  <si>
    <t>The steepest and/or most disturbed part of the upland area that is within 30 m of the wetland and occupies &gt;10% of that upland area has a percent slope of:</t>
  </si>
  <si>
    <t>&lt;1% (flat -- almost no noticeable slope) or all the area within 30 m of the AA edge is other wetlands.</t>
  </si>
  <si>
    <t>The maximum percentage of the wetland that is visible from the best vantage point on public roads, public parking lots, public buildings, or public maintained trails that intersect, adjoin, or are within 100 m of the AA (select one) is:</t>
  </si>
  <si>
    <t xml:space="preserve">Ownership </t>
  </si>
  <si>
    <t xml:space="preserve">Non-consumptive Uses - Actual or Potential </t>
  </si>
  <si>
    <r>
      <t>For an average person, walking is physically possible</t>
    </r>
    <r>
      <rPr>
        <u/>
        <sz val="10"/>
        <rFont val="Arial Narrow"/>
        <family val="2"/>
      </rPr>
      <t xml:space="preserve"> in</t>
    </r>
    <r>
      <rPr>
        <sz val="10"/>
        <rFont val="Arial Narrow"/>
        <family val="2"/>
      </rPr>
      <t xml:space="preserve"> (not just near) &gt;5% of the AA during most of the growing season, e.g., free of deep water and dense shrub thickets.</t>
    </r>
  </si>
  <si>
    <t>Maintained roads, parking areas, or foot-trails are within 10 m of the AA, or the AA can be accessed part of the year by boats arriving via contiguous waters.</t>
  </si>
  <si>
    <t xml:space="preserve">Unvisited Core Area </t>
  </si>
  <si>
    <t>Frequently Visited Area</t>
  </si>
  <si>
    <t xml:space="preserve">Consumptive Uses (Provisioning Services)  </t>
  </si>
  <si>
    <t>The closest wells or water bodies that currently provide drinking water are:</t>
  </si>
  <si>
    <r>
      <t xml:space="preserve">% of AA with </t>
    </r>
    <r>
      <rPr>
        <b/>
        <sz val="11"/>
        <rFont val="Arial Narrow"/>
        <family val="2"/>
      </rPr>
      <t xml:space="preserve">Persistent </t>
    </r>
    <r>
      <rPr>
        <sz val="11"/>
        <rFont val="Arial Narrow"/>
        <family val="2"/>
      </rPr>
      <t>Surface Water</t>
    </r>
  </si>
  <si>
    <r>
      <t xml:space="preserve">Surface water that persists for all or most of a year (and especially, during the early summer) provides more physical habitat for waterbirds. If no surface water persists, waterbird nesting can still be substantial if the wetland borders a lake, large river, or estuary. </t>
    </r>
    <r>
      <rPr>
        <i/>
        <sz val="10"/>
        <rFont val="Arial Narrow"/>
        <family val="2"/>
      </rPr>
      <t xml:space="preserve">In calculations, is excluded automatically (cell goes blank) if wetland never has surface water during an average year. </t>
    </r>
  </si>
  <si>
    <t xml:space="preserve">Size of Largest Nearby Vegetated Tract or Corridor </t>
  </si>
  <si>
    <t xml:space="preserve">Degraded Water Upstream </t>
  </si>
  <si>
    <t xml:space="preserve">Degraded Water Downstream </t>
  </si>
  <si>
    <t>Other Conservation Designation</t>
  </si>
  <si>
    <t>Species of Conservation Concern</t>
  </si>
  <si>
    <t>Calcareous Region</t>
  </si>
  <si>
    <t>Growing Degree Days</t>
  </si>
  <si>
    <t>Riparian buffers (in contrast to vegetation and other features located far from streams) can be responsible for up to 70% of the reduction in nutrient loads to streams (Diebel et al. 2009, Roberts &amp; Prince 2010), so a lack of an adequate buffer increases the opportunity (and thus value) for a wetland to process nutrients.. However, many factors other than buffers control a wetland’s water quality. These include underlying soils and geology, groundwater discharge or recharge rates, topography, plants and animals within a wetland, and proximity to the ocean (Feller 2005).</t>
  </si>
  <si>
    <t>Other factors being equal, wetlands in developed watersheds (with little remaining natural cover) tend to receive higher loads of sediment. Their sediment-trapping role could thus be considered to be more essential and valuable than if vegetated buffers were adequate to perform the same function.</t>
  </si>
  <si>
    <t>AVERAGE(WbirdFeed, Fishing, Core, PopCtr, DistRd)</t>
  </si>
  <si>
    <t>The capacity to support or contribute to an abundance or diversity of native frogs, toads, salamanders, and turtles.</t>
  </si>
  <si>
    <t xml:space="preserve">Other factors being equal, wetlands surrounded by little natural cover tend to receive higher loads of nitrate. Their nitrate removal role could thus be considered to be more essential and valuable for protecting waters further downstream. Even if the only watershed disturbance is logging, a typical post-logging shift from coniferous or mixed vegetation to deciduous vegetation can contribute 54% more nitrate to streams and alters the seasonal timing of the inputs and light availability (Roberts &amp; Bilby 2009). </t>
  </si>
  <si>
    <t>Relative Elevation in Watershed</t>
  </si>
  <si>
    <t>Herbaceous Uniqueness</t>
  </si>
  <si>
    <t>HerbUniq</t>
  </si>
  <si>
    <t>WoodyUniq</t>
  </si>
  <si>
    <t>Distance to Large Vegetated Tract</t>
  </si>
  <si>
    <r>
      <t>Especially during migration, the diversity of waterbirds may be greater in wetlands with fish because many wetland birds (e.g., loons, herons) feed extensively on fish.</t>
    </r>
    <r>
      <rPr>
        <i/>
        <sz val="10"/>
        <rFont val="Arial Narrow"/>
        <family val="2"/>
      </rPr>
      <t xml:space="preserve"> In calculations, receives maximum indicator score if wetland has fish, but if fish absent, this indicator is ignored.</t>
    </r>
  </si>
  <si>
    <r>
      <t>Breeding density of some waterbirds can be twice as great in fishless lakes than in lakes with fish, after accounting for lake area, and some species occur almost exclusively in fishless lakes due to greater abundance of aquatic invertebrates upon which they feed (Epners et al. 2010).</t>
    </r>
    <r>
      <rPr>
        <i/>
        <sz val="10"/>
        <rFont val="Arial Narrow"/>
        <family val="2"/>
      </rPr>
      <t xml:space="preserve"> In calculations, receives maximum indicator score if wetland has water but is fishless, whereas if fish are present, this indicator is ignored.</t>
    </r>
  </si>
  <si>
    <t>PondProx</t>
  </si>
  <si>
    <t>AVERAGE(FishAcc, AVERAGE(RdDis, Toxic, Core1, Core2, BMP)</t>
  </si>
  <si>
    <t>RareHerp</t>
  </si>
  <si>
    <t>Distance to Ponded Water</t>
  </si>
  <si>
    <t>AreaTotal12</t>
  </si>
  <si>
    <t>AVERAGE (SatPct, PermWpct, PondProx, Beaver, Interspers)</t>
  </si>
  <si>
    <t>Woody Uniqueness</t>
  </si>
  <si>
    <t>Such wetlands may be considered more valuable because the rare species they host contribute disproportionately to waterbird biodiversity at a regional scale.</t>
  </si>
  <si>
    <t>Native Plant Habitat</t>
  </si>
  <si>
    <t xml:space="preserve">In Ontario, forested wetlands with the most plant species were those with the largest areas and the largest proportion of upland forest within 250 m of the wetlands (Houlahan et al. 2006). </t>
  </si>
  <si>
    <t>DistBig15</t>
  </si>
  <si>
    <t>VegPctScape_S</t>
  </si>
  <si>
    <t>WetSize_S</t>
  </si>
  <si>
    <t>RareSpp_S</t>
  </si>
  <si>
    <t>AVERAGE [AVERAGE[VwidthAbs, WetSize, (AVERAGE(EmSens, ShrubPattS, WoodySens2, Gcover, UpEdge)), RareSpp]</t>
  </si>
  <si>
    <t>Elev_S</t>
  </si>
  <si>
    <t>Wetlands near headwaters have less exposure to waterborne colonizing plant propagules, thus potentially longer recovery times and greater sensitivity.</t>
  </si>
  <si>
    <t>Stream Flow Support</t>
  </si>
  <si>
    <t>Elev4</t>
  </si>
  <si>
    <t>Vegetated Buffer as % of Perimeter</t>
  </si>
  <si>
    <t xml:space="preserve">Trees near water edges discourage use of those areas by some waterbird species, probably because it potentially conceals or provides a perch for predators such as eagles and falcons (Shepherd &amp; Lank 2004, Sprague et al. 2008). </t>
  </si>
  <si>
    <r>
      <t xml:space="preserve">% of AA </t>
    </r>
    <r>
      <rPr>
        <b/>
        <sz val="11"/>
        <rFont val="Arial Narrow"/>
        <family val="2"/>
      </rPr>
      <t xml:space="preserve">Without </t>
    </r>
    <r>
      <rPr>
        <sz val="11"/>
        <rFont val="Arial Narrow"/>
        <family val="2"/>
      </rPr>
      <t>Surface Water</t>
    </r>
  </si>
  <si>
    <r>
      <t xml:space="preserve">At mid-day during the warmest time of year, the area of surface water </t>
    </r>
    <r>
      <rPr>
        <u/>
        <sz val="10"/>
        <rFont val="Arial Narrow"/>
        <family val="2"/>
      </rPr>
      <t>within</t>
    </r>
    <r>
      <rPr>
        <sz val="10"/>
        <rFont val="Arial Narrow"/>
        <family val="2"/>
      </rPr>
      <t xml:space="preserve"> the AA that is shaded by vegetation and other features </t>
    </r>
    <r>
      <rPr>
        <b/>
        <sz val="10"/>
        <rFont val="Arial Narrow"/>
        <family val="2"/>
      </rPr>
      <t xml:space="preserve">that are </t>
    </r>
    <r>
      <rPr>
        <b/>
        <u/>
        <sz val="10"/>
        <rFont val="Arial Narrow"/>
        <family val="2"/>
      </rPr>
      <t>within</t>
    </r>
    <r>
      <rPr>
        <sz val="10"/>
        <rFont val="Arial Narrow"/>
        <family val="2"/>
      </rPr>
      <t xml:space="preserve"> the AA at that time is:</t>
    </r>
  </si>
  <si>
    <t>Nitrogen-fixing plants (e.g., alder, sweetgale, clover, lupine, other legumes) comprise:</t>
  </si>
  <si>
    <r>
      <t xml:space="preserve">&lt;1% of the shrub cover </t>
    </r>
    <r>
      <rPr>
        <b/>
        <sz val="10"/>
        <rFont val="Arial Narrow"/>
        <family val="2"/>
      </rPr>
      <t>and</t>
    </r>
    <r>
      <rPr>
        <sz val="10"/>
        <rFont val="Arial Narrow"/>
        <family val="2"/>
      </rPr>
      <t xml:space="preserve"> &lt;1% of the ground cover, or trees are the only cover.</t>
    </r>
  </si>
  <si>
    <t>Woody Height &amp; Form Diversity</t>
  </si>
  <si>
    <t>Deciduous Woody Cover</t>
  </si>
  <si>
    <t>DecidCov15</t>
  </si>
  <si>
    <t>CalcFen15</t>
  </si>
  <si>
    <t>HerbUniq20</t>
  </si>
  <si>
    <t>RarePsp20</t>
  </si>
  <si>
    <t>AVERAGE (Beaver, NatVegCA, BuffLUpd, PondScape, PondProx)</t>
  </si>
  <si>
    <t>Invas15</t>
  </si>
  <si>
    <t>F3A</t>
  </si>
  <si>
    <t>Denitrification may be less under evergreen canopies than under deciduous because of the more shaded (cooler) microclimate and acidic soil conditions of the former.</t>
  </si>
  <si>
    <t>Groundwater in many areas is phosphorus-rich, especially when associated with iron-rich bedrock. This increases the opportunity of the receiving wetlands to process the P, thus increasing the importance (value) of their role in the local ecosystem.</t>
  </si>
  <si>
    <r>
      <t>Collen, P. and R. J. Gibson. 2001. The general ecology of beavers (</t>
    </r>
    <r>
      <rPr>
        <i/>
        <sz val="10"/>
        <rFont val="Arial Narrow"/>
        <family val="2"/>
      </rPr>
      <t>Castor</t>
    </r>
    <r>
      <rPr>
        <sz val="10"/>
        <rFont val="Arial Narrow"/>
        <family val="2"/>
      </rPr>
      <t xml:space="preserve"> spp.), as related to their influence on stream ecosystems and riparian habitats, and the subsequent effects on fish – a review. Reviews in Fish Biology and Fisheries 10:439–461.</t>
    </r>
  </si>
  <si>
    <t>Meyer, J. L., D. L. Strayer, J. B. Wallace, S. L. Eggert, G. S. Helfman, and N. E. Leonard. 2007. The Contribution of Headwater Streams to Biodiversity in River Networks. JAWRA Journal of the American Water Resources Association 43:86-103.</t>
  </si>
  <si>
    <r>
      <t>Wipfli, M. S. and J. Musslewhite. 2004. Density of red alder (</t>
    </r>
    <r>
      <rPr>
        <i/>
        <sz val="10"/>
        <rFont val="Arial Narrow"/>
        <family val="2"/>
      </rPr>
      <t>Alnus rubra</t>
    </r>
    <r>
      <rPr>
        <sz val="10"/>
        <rFont val="Arial Narrow"/>
        <family val="2"/>
      </rPr>
      <t>) in headwaters influences invertebrate and detritus subsidies to downstream fish habitats in Alaska. Hydrobiologia 520:153-163.</t>
    </r>
  </si>
  <si>
    <t xml:space="preserve">Streams adjoined by natural vegetation provide shade that helps maintain water temperature, as well as supporting richer and healthier communities of fish as well as invertebrates. Often, only very tolerant fish species are present in streams in heavily urbanized areas (Yoder et al. 1999) and invasive species may enjoy a competitive advantage over native species under urban conditions. </t>
  </si>
  <si>
    <t xml:space="preserve">Aquatic invertebrates are especially valued in food webs when the same wetland's structure also strongly supports important consumers such as fish, bats, and birds (Baxter et al. 2005, Gende &amp; Wilson 2001, Christie &amp; Reimchen 2008). </t>
  </si>
  <si>
    <t>Schmutzer, A. C., M. J. Gray, E. C. Burton, and D. L. Miller. 2008. Impacts of cattle on amphibian larvae and the aquatic environment. Freshwater Biology 53:2613-2625.</t>
  </si>
  <si>
    <r>
      <t>Wood, W. E. and S. M. Yezerinac. 2006. Song sparrow (</t>
    </r>
    <r>
      <rPr>
        <i/>
        <sz val="10"/>
        <rFont val="Arial Narrow"/>
        <family val="2"/>
      </rPr>
      <t>Melospiza melodia</t>
    </r>
    <r>
      <rPr>
        <sz val="10"/>
        <rFont val="Arial Narrow"/>
        <family val="2"/>
      </rPr>
      <t>) song varies with urban noise. Auk 123:650-659.</t>
    </r>
  </si>
  <si>
    <t>Due to fertilizing effects of its nitrogen-fixing capacity, alder can increase the abundance of forbs important to songbirds and other wildlife.</t>
  </si>
  <si>
    <t>Different plant species occur under different moisture regimes, which correlate with different elevations (Samoni et al. 2010), so a greater diversity of elevations (i.e., complex microtopography) often supports a wider variety of plants. Adding small ridges and furrows to constructed depressional wetlands was found in one study to increase their percent cover of obligate wetland species (Alsfeld et al. 2009). Wetlands with more varied topography tended to have greater plant species richness because this creates different flood frequencies within the wetland (Pollack et al. 1998).</t>
  </si>
  <si>
    <t xml:space="preserve">Soil organic matter is slow to accumulate in constructed wetlands (Alsfeld et al. 2009), so less is likely to be available for export. </t>
  </si>
  <si>
    <t>Man-made wetlands typically have less diverse vegetation and limited soil carbon, making them more sensitive to extreme natural events and slower to recover.</t>
  </si>
  <si>
    <r>
      <t xml:space="preserve">Hogg, E. H. and V. J. Lieffers. 1991. The impact of </t>
    </r>
    <r>
      <rPr>
        <i/>
        <sz val="10"/>
        <rFont val="Arial Narrow"/>
        <family val="2"/>
      </rPr>
      <t>Calamagrostis canadensis</t>
    </r>
    <r>
      <rPr>
        <sz val="10"/>
        <rFont val="Arial Narrow"/>
        <family val="2"/>
      </rPr>
      <t xml:space="preserve"> on soil thermal regimes after logging in northern Alberta. Canadian Journal of Forest Research 21:387-394.</t>
    </r>
  </si>
  <si>
    <t>Anadromous Fish Habitat</t>
  </si>
  <si>
    <r>
      <t xml:space="preserve">Except when spawning, most anadromous fish spend much of their time in deep water because of the typically cooler temperatures and cover it provides. Preferred depths vary by species, season, and channel type. </t>
    </r>
    <r>
      <rPr>
        <i/>
        <sz val="10"/>
        <rFont val="Arial Narrow"/>
        <family val="2"/>
      </rPr>
      <t xml:space="preserve">In calculations, is excluded automatically (cell goes blank) if wetland never has surface water during an average year. </t>
    </r>
  </si>
  <si>
    <t>Waterbird Nesting Habitat</t>
  </si>
  <si>
    <t>Price, J. S. 1991. Evaporation from a blanket bog in a foggy coastal environment. Boundary-Layer Meteorology 57:391-406.</t>
  </si>
  <si>
    <t>Groundwater discharging into wetlands supports a wetland's capacity to cool surface runoff during summer, because groundwater in most cases is cooler than surface water during that time (Mellina et al. 2002). In this region, cooler stream temperatures are associated with a greater proportion of groundwater-discharging wetlands in stream headwaters (Monk et al. 2013).</t>
  </si>
  <si>
    <t>Monk, W. A., N. M. Wilbur, R. A. Curry, R. Gagnon, and R. N. Faux. 2013. Linking landscape variables to cold water refugia in rivers. Journal of Environmental Management 118:170-176.</t>
  </si>
  <si>
    <t>Gorham, E., J. K. Underwood, J. A. Janssens, B. Freedman, W. Maass, D. H. Waller, and J. G. Ogden. 1998. The chemistry of streams in southwestern and central Nova Scotia, with particular reference to catchment vegetation and the influence of dissolved organic carbon primarily from wetlands. Wetlands 18:115-132.</t>
  </si>
  <si>
    <t>Denitrification rates are often limited by the amount of available carbon (Groffman et al. 2009, Capps et al. 2014). Organic soils have the most carbon, and coarse soils usually have the least. Denitrification enzyme activity, on a per gram basis, is typically greater in organic soils than mineral soils (Van Hoewyk et al. 2000). However, the acidic nature of many organic soils can limit denitrification, the major process for nitrate removal. Soils having less than 65% silt and clay have very limited capacity to remove nitrate via denitrification (Pinay et al. 2003). Emissions of nitrous oxide (a detrimental greenhouse gas) are most likely to occur in soils that are poor in organic matter but rich in nitrogen (e.g., the carbon-nitrogen ratio is less than 25, Hunt et al. 2007). The 40 cm threshold represents a frequent transition zone in some soil types from aerobic to anaerobic conditions; in other soils the transition occurs at about 25 cm</t>
  </si>
  <si>
    <t>Capps, K. A., R. Rancatti, N. Tomczyk, T. B. Parr, A. J. K. Calhoun, and M. Hunter Jr. 2014. Biogeochemical hotspots in forested landscapes: the role of vernal pools in denitrification and organic matter processing. Ecosystems 17:1455-1468.</t>
  </si>
  <si>
    <t>Devito, K. J., P. J. Dillon, and B. D. Lazerte. 1989. Phosphorus and nitrogen retention in five Precambrian Shield wetlands. Biogeochemistry 8:185–204.</t>
  </si>
  <si>
    <r>
      <t xml:space="preserve">Glenn, A. J., L. B. Flanagan, K. H. Syed, and P. J. Carlson. 2006. Comparison of net ecosystem CO2 exchange in two peatlands in western Canada with contrasting dominant vegetation, </t>
    </r>
    <r>
      <rPr>
        <i/>
        <sz val="10"/>
        <rFont val="Arial Narrow"/>
        <family val="2"/>
      </rPr>
      <t>Sphagnum</t>
    </r>
    <r>
      <rPr>
        <sz val="10"/>
        <rFont val="Arial Narrow"/>
        <family val="2"/>
      </rPr>
      <t xml:space="preserve"> and </t>
    </r>
    <r>
      <rPr>
        <i/>
        <sz val="10"/>
        <rFont val="Arial Narrow"/>
        <family val="2"/>
      </rPr>
      <t>Carex</t>
    </r>
    <r>
      <rPr>
        <sz val="10"/>
        <rFont val="Arial Narrow"/>
        <family val="2"/>
      </rPr>
      <t>. Agricultural and Forest Meteorology 140:115-135.</t>
    </r>
  </si>
  <si>
    <t>Dalva, M. and T. R. Moore. 1991. Sources and sinks of dissolved organic carbon in a forested swamp catchment. Biogeochemistry 15:1-19.</t>
  </si>
  <si>
    <t>Baldwin, R. F., A. J. K. Calhoun, and P. G. DeMaynadier. 2006a. The significance of hydroperiod and stand maturity for pool-breeding amphibians in forested landscapes. Canadian Journal of Zoology 84:1604-1615.</t>
  </si>
  <si>
    <t>Collins, S. J. and R. W. Russell. 2009. Toxicity of road salt to Nova Scotia amphibians. Environmental Pollution 157:320-324.</t>
  </si>
  <si>
    <t>Gravel, M., M. J. Mazerolle, and M.-A. Villard. 2012. Interactive effects of roads and weather on juvenile amphibian movements. Amphibia-Reptilia 33:113-127.</t>
  </si>
  <si>
    <t>Mazerolle, M. J. 2004. Amphibian road mortality in response to nightly variations in traffic intensity. Herpetologica 60:45-53.</t>
  </si>
  <si>
    <t>Patrick, D. A., M. L. Hunter, and A. J. K. Calhoun. 2006. Effects of experimental forestry treatments on a Maine amphibian community. Forest Ecology and Management 234:323-332.</t>
  </si>
  <si>
    <t>Patrick, D. A., E. B. Harper, M. L. Hunter Jr, and A. J. K. Calhoun. 2008. Terrestrial habitat selection and strong density-dependent mortality in recently metamorphosed amphibians. Ecology 89:2563-2574.</t>
  </si>
  <si>
    <t>Waldick, R. C., B. Freedman, and R. J. Wassersug. 1999. The consequences for amphibians of the conversion of natural, mixed-species forests to conifer plantations in southern New Brunswick. Canadian Field-Naturalist 113:408-418.</t>
  </si>
  <si>
    <t>Gibbs, J. P., J. R. Longcore, D. G. McAuley, and J. K. Ringelman. 1991. Use of Wetland Habitats by Selected Nongame Water Birds in Maine. Report No. 9. U.S. Fish and Wildlife Service, Washington, DC.</t>
  </si>
  <si>
    <t>Hierl, L. A., C. S. Loftin, J. R. Longcore, D. G. McAuley, and D. L. Urban. 2007. A multivariate assessment of changes in wetland habitat for waterbirds at Moosehorn National Wildlife Refuge, Maine, USA. Wetlands 27:141-152.</t>
  </si>
  <si>
    <t>Parker, G. R. 1991. Survival of juvenile American black ducks on a managed wetland in New Brunswick. Journal of Wildlife Management 55:466-470.</t>
  </si>
  <si>
    <t>Prince, H. H. 1968. Nest sites used by wood ducks and common goldeneyes in New Brunswick. Journal of Wildlife Management 32:489-500.</t>
  </si>
  <si>
    <t>Desrochers, A., L. Rochefort, and J.-P. L. Savard. 1998. Avian recolonization of eastern Canadian bogs after peat mining. Canadian Journal of Zoology 76:989-997.</t>
  </si>
  <si>
    <t>Drapeau, P., A. Nappi, L. Imbeau, and M. Saint-Germain. 2009. Standing deadwood for keystone bird species in the eastern boreal forest: managing for snag dynamics. The Forestry Chronicle 85:227-234.</t>
  </si>
  <si>
    <t>Whitaker, D. M. and W. A. Montevecchi. 1999. Breeding bird assemblages inhabiting riparian buffer strips in Newfoundland, Canada. The Journal of Wildlife Management:167-179.</t>
  </si>
  <si>
    <t>Wetlands, especially bogs, that are ice-free for longer during the year, as inferred from growing degree days, tend to have more plant species (Glaser 1992).</t>
  </si>
  <si>
    <t>Catling, P. M., B. Freedman, C. Stewart, J. J. Kerekes, and L. P. Lefkovitch. 1986. Aquatic plants of acid lakes in Kejimkujik National Park, Nova Scotia; floristic composition and relation to water chemistry. Canadian Journal of Botany 64:724-729.</t>
  </si>
  <si>
    <t>Glaser, P. H. 1992. Raised bogs in eastern North America--regional controls for species richness and floristic assemblages. Journal of Ecology:535-554.</t>
  </si>
  <si>
    <t>Kerekes, J. and B. Freedman. 1989. Characteristics of three acidic lakes in Kejimkujik National Park, Nova Scotia, Canada. Archives of Environmental Contamination and Toxicology 18:183-200.</t>
  </si>
  <si>
    <t>Langlois, M. N., J. S. Price, and L. Rochefort. 2015. Landscape analysis of nutrient-enriched margins (lagg) in ombrotrophic peatlands. Science of the Total Environment 505:573-586.</t>
  </si>
  <si>
    <t>Freda, J. 1986. The influence of acidic pond water on amphibians: a review. Water, Air, and Soil Pollution 30:439-450.</t>
  </si>
  <si>
    <t>Wood, J. A. and C. D. A. Rubec. 1989. Chemical characterization of several wetlands in Kejimkujik National Park, Nova Scotia. Water, Air, and Soil Pollution 46:177-186.</t>
  </si>
  <si>
    <t xml:space="preserve">Because actual data on sediment loads are lacking for many wetland watersheds, this approximation is included as well, and is based on a host of activities known in some cases to contribute excessive sediment, e.g., wetland ditching (Pavey et al. 2007). </t>
  </si>
  <si>
    <t>Pavey, B., A. Saint-Hilaire, S. Courtenay, T. Ouarda, and B. Bobee. 2007. Exploratory study of suspended sediment concentrations downstream of harvested peat bogs. Environmental Monitoring and Assessment 135:369-382.</t>
  </si>
  <si>
    <t>Mullen, S. F., J. A. Janssens, and E. Gorham. 2000. Acidity of and the concentrations of major and minor metals in the surface waters of bryophyte assemblages from 20 North American bogs and fens. Canadian Journal of Botany 78:718-727.</t>
  </si>
  <si>
    <t>Mazerolle, M. J. 2001. Amphibian activity, movement patterns, and body size in fragmented peat bogs. Journal of Herpetology 35:13-20.</t>
  </si>
  <si>
    <t>Mazerolle, M. J. 2005. Drainage ditches facilitate frog movements in a hostile landscape. Landscape Ecology 20:579-590.</t>
  </si>
  <si>
    <t>Mazerolle, M. J. and A. Desrochers. 2005. Landscape resistance to frog movements. Canadian Journal of Zoology 83:455-464.</t>
  </si>
  <si>
    <t>Karraker, N. E. and J. P. Gibbs. 2011. Road deicing salt irreversibly disrupts osmoregulation of salamander egg clutches. Environmental Pollution 159:833-835.</t>
  </si>
  <si>
    <t>Keddy, P. A. and I. C. Wisheu. 1989. Ecology, biogeography, and conservation of coastal plain plants: some general principles from the study of Nova Scotian wetlands. Rhodora:72-94.</t>
  </si>
  <si>
    <t>Hill, N. M. and P. A. Keddy. 1992. Prediction of rarities from habitat variables: coastal plain plants on Nova Scotian lakeshores. Ecology:1852-1859.</t>
  </si>
  <si>
    <t>Hinds, H. R. 1983. The Rare Vascular Plants of New Brunswick. Syllogeus Series No. 50. National Museum of Natural Sciences, Ottawa, ON.</t>
  </si>
  <si>
    <t>Hinds, H. R. 2000. Flora of New Brunswick, Second Edition. University of New Brunswick, Biology Department, Fredericton, NB.</t>
  </si>
  <si>
    <t>Moore, D. R. J., P. A. Keddy, C. L. Gaudet, and I. C. Wisheu. 1989. Conservation of wetlands: do infertile wetlands deserve a higher priority? Biological Conservation 47:203-217.</t>
  </si>
  <si>
    <t xml:space="preserve">Coarse soils tend to be less productive and in some cases this results in reduced species richness of wetland plants. Wetland soils with higher organic content often support greater plant species richness (e.g., Alsfeld et al. 2009). </t>
  </si>
  <si>
    <t>Groundwater provides relatively warm temperatures that can maintain ice-free conditions for longer, and helps sustain water levels and low flows, thus increasing annual production. However, the "flocs" created by the presence of iron oxidizing bacteria in some instances causes groundwater to be deficient in oxygen that is critical to resident fish, especially when this occurs under winter ice cover.</t>
  </si>
  <si>
    <t>Morley, T. R., A. S. Reeve, and A. J. K. Calhoun. 2011. The role of headwater wetlands in altering streamflow and chemistry in a Maine, USA catchment. Journal of American Water Resources Association (JAWRA) 47:337-349.</t>
  </si>
  <si>
    <t>Although hardly representative of the needs of all wetland-dependent songbirds and mammals, the presence of suitable wintering habitat for deer is an important component of this function. However, very high deer densities reduce habitat for ground- and understory-nesting birds.</t>
  </si>
  <si>
    <r>
      <t xml:space="preserve">Beaver impoundments, especially after they are abandoned and revert to early successional shrubs, support higher bird species richness than many other land cover types (Grover &amp; Baldassarre 1995, Aznar &amp; Desrochers 2008) and are also important to river otter (LeBlanc et al. 2007, Gallant et al. 2009). </t>
    </r>
    <r>
      <rPr>
        <i/>
        <sz val="10"/>
        <rFont val="Arial Narrow"/>
        <family val="2"/>
      </rPr>
      <t>In calculations, is excluded automatically (cell goes blank) if wetland never has surface water during an average year.</t>
    </r>
  </si>
  <si>
    <t>Snaith, T. V., K. F. Beazley, F. MacKinnon, and P. Duinker. 2002. Preliminary habitat suitability analysis for moose in mainland Nova Scotia, Canada. Alces 38:73-88.</t>
  </si>
  <si>
    <t>Traffic poses a hazard to songbirds and mammals that attempt to cross roads (Forman et al. 2002, Clevenger et al. 2003, Massey et al. 2008, Minor &amp; Urban 2010, Tremblay &amp; St. Clair 2010, and see reviews by Fahrig &amp; Rytwinski 2009, Benitez-Lopez et al. 2010). Roadsides also may channel the movements of predators. Noise from heavy traffic interferes with bird reproduction because some birds cannot hear singing of prospective mates (Wood &amp; Yezerinac 2006, Slabbekoorn &amp; Ripmeester 2008, Barber et al. 2010) and road noise can restrict habitat use by bats (Schaub et al. 2008) and moose (Snaith et al. 2002).</t>
  </si>
  <si>
    <t>Popescu, V. D., D. A. Patrick, M. L. Hunter, and A. J. K. Calhoun. 2012. The role of forest harvesting and subsequent vegetative regrowth in determining patterns of amphibian habitat use. Forest Ecology and Management 270:163-174.</t>
  </si>
  <si>
    <r>
      <t xml:space="preserve">A gentle shore slope provides waterbirds with easier access to upland nesting cover near the water (Staicer et al. 1994). </t>
    </r>
    <r>
      <rPr>
        <i/>
        <sz val="10"/>
        <rFont val="Arial Narrow"/>
        <family val="2"/>
      </rPr>
      <t>In calculations, is excluded automatically (cell goes blank) if wetland never has surface water during an average year, or has no open water.</t>
    </r>
  </si>
  <si>
    <t>Staicer, C. A., B. Freedman, D. Srivastava, N. Dowd, J. Kilgar, J. Hayden, F. Payne, and T. Pollock. 1994. Use of lakes by black duck broods in relation to biological, chemical, and physical features. Pages 185-199 in G. A. J. Clark, editor. Aquatic Birds in the Trophic Web of Lakes. Springer, Netherlands.</t>
  </si>
  <si>
    <t>Urban, N. R., S. E. Bayley, and S. J. Eisenreich. 1989. Export of dissolved organic carbon and acidity from peatlands. Water Resources Research 25:1619-1628.</t>
  </si>
  <si>
    <t>Srivastava, D. S., C. A. Staicer, and B. Freedman. 1995. Aquatic vegetation of Nova Scotian lakes differing in acidity and trophic status. Aquatic Botany 51:181-196.</t>
  </si>
  <si>
    <t>Krause, H. H. 1982. Nitrate formation and movement before and after clear-cutting of a monitored watershed in central New Brunswick, Canada. Canadian Journal of Forest Research 12:922-930.</t>
  </si>
  <si>
    <t>Price, J. S. and D. A. Maloney. 1994. Hydrology of a patterned bog-fen complex in southeastern Labrador, Canada. Nordic Hydrology 25:313-330.</t>
  </si>
  <si>
    <r>
      <t xml:space="preserve">Snags provide nest cavities for a few waterbird species, e.g., wood duck, common goldeneye (Prince 1968). Such trees may be used even when located a considerable distance from the wetland. </t>
    </r>
    <r>
      <rPr>
        <i/>
        <sz val="10"/>
        <rFont val="Arial Narrow"/>
        <family val="2"/>
      </rPr>
      <t>In calculations, is excluded automatically (cell goes blank) if wetland has few or no trees.</t>
    </r>
  </si>
  <si>
    <t>Keddy, P. A., A. J. Spavold, and C. J. Keddy. 1979. Snowmobile impact on old field and marsh vegetation in Nova Scotia, Canada: An experimental study. Environmental Management 3:409-415.</t>
  </si>
  <si>
    <t>Wisheu, I. C. and P. A. Keddy. 1994. The low competitive ability of Canada's Atlantic coastal plain shoreline flora: Implications for conservation. Biological Conservation 68:247-252.</t>
  </si>
  <si>
    <t>Freedman, B., V. Zelazny, D. Beaudette, T. Fleming, G. Johnson, S. Flemming, J. S. Gerrow, G. Forbes, and S. Woodley. 1996. Biodiversity implications of changes in the quantity of dead organic matter in managed forests. Environmental Reviews 4: 238-265.</t>
  </si>
  <si>
    <t>Several ( &gt;8/hectare) and a pond, lake, or slow-flowing water wider than 10 m is within 1 km.</t>
  </si>
  <si>
    <t>Several ( &gt;8/hectare) but above not true.</t>
  </si>
  <si>
    <t>Laenen, A. 1980. Storm Runoff as Related to Urbanization in the Portland, Oregon-Vancouver, Washington Area. Water Resources Investigations 80-689. U.S. Geological Survey, Portland, OR.</t>
  </si>
  <si>
    <t>Function         Indicators</t>
  </si>
  <si>
    <t>Function Indicators</t>
  </si>
  <si>
    <t>Northward (N, NE). north-facing contributing area.</t>
  </si>
  <si>
    <t>Southward (S, SW). south-facing contributing area.</t>
  </si>
  <si>
    <t>Consider the parts of the AA that lack surface water at the driest time of the growing season. Viewed from directly above the ground layer, the predominant condition in those areas at that time is:</t>
  </si>
  <si>
    <t>Not applicable. Surface water (either open or obscured by emergent plants) covers all of the AA all the time.</t>
  </si>
  <si>
    <t>&gt;2 m deep. True for many fringe wetlands.</t>
  </si>
  <si>
    <t>Neither of above. There are 3 or more depth classes and none occupy &gt;50%.</t>
  </si>
  <si>
    <t>Scattered. More than 30% of such vegetation forms small islands or corridors surrounded by water.</t>
  </si>
  <si>
    <t>At some time of the year, mats of algae and/or duckweed are likely to cover &gt;50% of the AA's otherwise-unshaded water surface, or blanket &gt;50% of the underwater substrate. If true, enter "1" in next column. If untrue or uncertain, enter "0".</t>
  </si>
  <si>
    <t>Based on lack of shade, water source characteristics, or actual temperature measurements, the inflow is likely to be warmer than surface water in the AA during part of most years. Enter 1= yes, 0= no.</t>
  </si>
  <si>
    <t>Neither of above is true, although some groundwater may discharge to or flow through the AA. Or groundwater influx is unknown.</t>
  </si>
  <si>
    <t>Boardwalks, paved trails, fences or other infrastructure and/or well-enforced regulations appear to effectively prevent visitors from walking on soil within nearly all of the AA when the soil is unfrozen. Enter "1" if true.</t>
  </si>
  <si>
    <t>Recent evidence was found within the AA of the following potentially-sustainable consumptive uses. Select ALL that apply.</t>
  </si>
  <si>
    <t>In the last column, place a check mark next to any item that is likely to have caused the timing of water inputs (but not necessarily their volume) to shift by hours, days, or weeks, becoming either more muted (smaller or less frequent peaks spread over longer times, more temporal homogeneity of flow or water levels) or more flashy (larger or more frequent spikes but over shorter times). [FA, FR, INV, PH, STR]</t>
  </si>
  <si>
    <t xml:space="preserve">If any items were checked above, then for each row of the table below, assign points. However, if you believe the checked items had no measurable effect on the timing of water conditions in any part of the AA, then leave the "0's" for the scores in the following rows. To estimate effects, contrast the current condition with the condition if the checked items never occurred or were no longer present. </t>
  </si>
  <si>
    <t xml:space="preserve">If any items were checked above, then for each row of the table below, assign points. However, if you believe the checked items did not cumulatively expose the AA to significantly higher levels of contaminants and/or salts, then leave the "0's" for the scores in the following rows. To estimate effects, contrast the current condition with the condition if the checked items never occurred or were no longer present. </t>
  </si>
  <si>
    <t xml:space="preserve">If any items were checked above, then for each row of the table below, assign points. However, if you believe the checked items did not cumulatively expose the AA to significantly more nutrients, then leave the "0's" for the scores in the following rows. To estimate effects, contrast the current condition with the condition if the checked items never occurred or were no longer present. </t>
  </si>
  <si>
    <t xml:space="preserve">If any items were checked above, then for each row of the table below, assign points (3, 2, or 1 as shown in header) in the last column. However, if you believe the checked items did not cumulatively add significantly more sediment or suspended solids to the AA, then leave the "0's" for the scores in the following rows. To estimate effects, contrast the current condition with the condition if the checked items never occurred or were no longer present. </t>
  </si>
  <si>
    <t xml:space="preserve">If any items were checked above, then for each row of the table below, assign points. However, if you believe the checked items did not measurably alter the soil structure and/or topography, then leave the "0's" for the scores in the following rows. To estimate effects, contrast the current condition with the condition if the checked items never occurred or were no longer present. </t>
  </si>
  <si>
    <t xml:space="preserve">Considerable amounts of water can be stored below the land surface in peat and coarse-textured substrates. However, very little new runoff can be stored if the substrates are already saturated. Peat tends to be saturated much of the time, and groundwater discharge dominates many wetlands with coarse-textured substrate, keeping those saturated much of the time and thus limiting the capacity to store additional water. Runoff ratio (the percent of precipitation that contributes to streamflow immediately after storms) is lowest for open peatland areas with thick organic horizons (0.02-0.05) due to low topographic gradients and many surface depressions capable of retaining surface water. Runoff ratio is greatest in areas with more permeable soils, at least where those areas aren't sloping. That is due partly to higher likelihood of groundwater reaching the land surface via seeps (Quinton et al. 2003, Emili &amp; Price 2006). </t>
  </si>
  <si>
    <t>Many or most fens are groundwater discharge areas (Siegel &amp; Glaser 1987), and such discharge is more seasonally stable and thus more likely to contribute water late in the season when streamflow otherwise can be low. Some bogs, especially those that have outlets, discharge groundwater and thus potentially influence low flows (Siegal 1988). Where located near the Maritime coast, they lose relatively little water to evaporation and infiltration (Price 1992). Much of their water is released later in the spring and summer than in other wetland types, due to its remaining frozen later on account of the insulating effects of peat (Price &amp; Maloney 1994). Water tables in riparian swamps and marshes typically fluctuate with river levels, and so are less likely to contribute much water during low flow conditions.</t>
  </si>
  <si>
    <t>Wetlands whose shorelines have gentle slope are more likely than those with steep ones to retain sediment runoff from adjoining uplands, and are likely to have more vegetation that facilitates this. In calculations, is excluded automatically (cell goes blank) if wetland never has surface water during an average year, or has no open water.</t>
  </si>
  <si>
    <t xml:space="preserve">The effectiveness for retaining particulate nitrate and converting soluble nitrate and ammonium to nitrogen gas, primarily through the microbial process of denitrification, while generating little or no nitrous oxide (a potent greenhouse gas). </t>
  </si>
  <si>
    <t xml:space="preserve">The effectiveness for retaining both incoming particulate and dissolved carbon, and through the photosynthetic process converting carbon dioxide gas to organic matter (particulate or dissolved), and then retaining that organic matter on a net annual basis for long periods while emitting little or no methane (a potent “greenhouse gas”). </t>
  </si>
  <si>
    <t xml:space="preserve">Wetland emissions of methane increase with warming temperatures (Moosavi et al. 1994, Sha et al. 2011). Although plants responsible for much of the carbon sequestration in wetlands grow fastest at warmer soil or sediment temperatures, they also decompose faster. With colder temperatures (fewer degree days), the concentration of mobile DOC in forested wetland soils and streams decreases, suggesting more immobile carbon is sequestered onsite rather than being exported downslope in groundwater (D’Amore et al. 2010). </t>
  </si>
  <si>
    <t xml:space="preserve">Where groundwater is anaerobic (as it often is) it can stimulate methane emissions, as can its usually circumneutral acidity (Updegraff et al. 1995). As a result less carbon may be sequestered in some groundwater-fed wetlands (Smemo &amp;Yavitt 2006). However, in many wetlands groundwater also increases the levels of iron, calcium, and sulfate in surface water (Heagle et al. 2007) which can result in less methane emission. Lakes and wetlands with large groundwater inputs may have less organic matter in their sediments (Squires et al. 2006), thus generating less methane. </t>
  </si>
  <si>
    <t xml:space="preserve">The initial sparseness of vegetation in new wetlands suggests that overall carbon stores are less than in some of the more mature wetlands with greater plant cover, diversity, and structural complexity. Aboveground production and soil organic matter have been shown to be less in lands newly restored to wetland conditions than in long-established wetlands (Fennessy et al. 2008). However, many pioneering plants in new wetlands (especially on fertile soils) grow rapidly and thus are fixing large amounts of carbon per plant per unit time. In recovering windfall areas mosses established a dense carpet on windthrow mounds within the first few decades after the disturbance and quickly sequestered carbon. They were found to comprise as much as 25% of understory plant biomass and as much as 50% of understory productivity (den Ouden &amp; Alaback 1996). </t>
  </si>
  <si>
    <t>MacKenzie, W. and J. Shaw. 2000. Wetland classification and habitats at risk in British Columbia. Volume Two. Pages 537-547 in L. M. Darling, editor. Proceedings of a Conference on the Biology and Management of Species and Habitats at Risk, Kamloops, B.C.,15 - 19 Feb.,1999. B.C. Ministry of Environment, Lands and Parks, Victoria, B.C. and University College of the Cariboo, Kamloops, B.C. .</t>
  </si>
  <si>
    <t>Roulet, N. T., P. M. Crill, N. T. Comer, A. Dove, and R. A. Boubonniere. 1997. CO2 and CH4 flux between a boreal beaver pond and the atmosphere. Journal of Geophysical Research 102(D24): 29313-29.</t>
  </si>
  <si>
    <t>Plants are most productive at warmer soil or sediment temperatures, and their foliage that contributes organic matter to downslope food chains decomposes most rapidly under warmer conditions (Fissore et al. 2009). Those conditions are described by increasing mean annual temperature. As soil temperatures increase, so does the concentration of DOC in forested wetland soils and streams, and in that form carbon is readily exported (D’Amore et al. 2010). The production of Sphagnum moss in particular is greater in warmer areas (Gunnarsson 2005). However, ice that is more prevalent in cooler regions can erode organic matter and aid its transport out of a wetland during ice-melt periods.</t>
  </si>
  <si>
    <t xml:space="preserve"> Increased access to wetlands by anadromous fish can make other fish more vulnerable to competition or predation by anadromous fish. For non-anadromous fish, access to other water bodies is helpful to escape temporary oxygen deficits (particularly under ice in winter) and to access additional food and spawning areas, but is not always essential. </t>
  </si>
  <si>
    <t>Excessive sediment limits aquatic productivity, contributes to surface water warming, and thus adversely affects resident fish habitat (e.g., Gray et al. 2005). It also is directly stressful to fish. However, in some cases moderate turbidity can provide cover from aerial predators.</t>
  </si>
  <si>
    <t xml:space="preserve">The capacity to support or contribute to an abundance or diversity of invertebrate animals which spend all or part of their life cycle underwater or in moist soil. Includes dragonflies, midges, clams, snails, water beetles, shrimp, aquatic worms, and others.
</t>
  </si>
  <si>
    <t xml:space="preserve">1-25% of the shrub cover (if shrubs/trees are the dominant cover) or 1-25% of the ground cover (if herbaceous plants are the dominant cover). </t>
  </si>
  <si>
    <t xml:space="preserve">25-50% of the shrub cover (if shrubs/trees are the dominant cover) or 25-50% of the ground cover (if herbaceous plants are the dominant cover). </t>
  </si>
  <si>
    <t xml:space="preserve">50-75% of the shrub cover (if shrubs/trees are the dominant cover) or 50-75% of the ground cover (if herbaceous plants are the dominant cover). </t>
  </si>
  <si>
    <t xml:space="preserve">&gt;75% of the shrub cover (if shrubs/trees are the dominant cover) or &gt;75% % of the ground cover (if herbaceous plants are the dominant cover). </t>
  </si>
  <si>
    <t>Comparing data from multiple regions, Utz et al. (2009) reported that once urbanization in a watershed reached 60%, all taxa remaining responded either neutrally or positively with respect to continued urbanization. Most were harmed at much lower levels. The importance of streamside vegetation, especially trees, for sustaining the health of aquatic systems has been documented in the Pacific Northwest (e.g., Gregory et al. 1991, Naiman et al. 2000, Richardson et al. 2005, Wipfli et al. 2007). The positive effect is partly because wood falling into streams increases channel complexity which benefits aquatic invertebrates and fish; that may not apply to wood falling into wetlands. Trees also help maintain stream temperature and streams adjoined by natural vegetation support richer and healthier aquatic invertebrate communities (Richards et al. 1996). However, the effects of buffers and/or tree canopy closure on aquatic life in perennial streams vary, with some studies showing little effect on native fish (Roy et al. 2005, Fischer et al. 2010) and others a positive effect especially when buffer width was at least 100 ft (Frimpong et al. 2005, Horwitz et al. 2008). A 30-ft wide buffer along perennial streams in British Columbia was found to be insufficient to protect stream invertebrate communities from adverse effects of clear-cut logging, although the terrestrial insects the buffer provided were noted as a potentially important food source for fish using the streams (Hoover et al. 2007). Another study of BC perennial streams found uncut riparian buffers of at least 30 ft were needed to limit changes from clear-cut logging to aquatic life in headwater forested watersheds; those changes included increase abundance of aquatic invertebrates and algae (Kiffney et al. 2003). Increased sunlight from vegetation removal can increase stream and wetland productivity and thus the density of some invertebrate groups, where nutrients and elevation (stream temperature) are not severely limiting (Moldenke &amp; Linden 2007).</t>
  </si>
  <si>
    <t>Waite, I. R., S. Sobieszczyk, K. D. Carpenter, A. J. Arnsberg, H. M. Johnson, C. A. Hughes, M. J. Sarantou, and F. A. Rinella. 2008. Effects of Urbanization on Stream Ecosystems in the Willamette River Basin and Surrounding Area, Oregon and Washington. Scientific Investigations Report 2006–5101–D, U.S. Geological Survey, Portland, OR.</t>
  </si>
  <si>
    <t xml:space="preserve">Roads and/or traffic are a significant barrier to or hazard for dispersing amphibians, as demonstrated both in this region (Mazerolle 2004, Maxerolle &amp; Desrochers 2005, Mazerolle et al. 2005, Jacobs &amp; Houlahan 2011, Gravel et al. 2012) and elsewhere (Mader 1984, Fahrig et al. 1995, and see review by Fahrig &amp; Rytwinski 2009). Roads with as few as 10 vehicles per hour can still have significant amphibian roadkill (Mazerolle 2004). Even some narrow logging roads that had long been abandoned continued to impair movements and densities of salamanders in North Carolina; the road effect appeared to extend about 35 m into the adjoining woods on both sides of the road (Semlitsch et al. 2007). </t>
  </si>
  <si>
    <t>Amphibians do not physiologically regulate their body temperature. Thus their populations are likely to be more productive (and have greater survival) in warmer parts of the region.</t>
  </si>
  <si>
    <t>Although many amphibians may benefit from warmer temperatures associated with sparser ground cover within a wetland, dense ground cover provides better protection from predators (Mazerolle &amp; Desrochers 2005). Thus, intermediate levels are scored highest.</t>
  </si>
  <si>
    <t>Amphibians are highly sensitive to many contaminants. These include road salt (Collins &amp; Russell 2009), which is not necessarily diluted by spring rains to harmless levels (Karraker &amp; Gibbs 2011).</t>
  </si>
  <si>
    <t>Larger wetlands are used disproportionately by feeding waterbirds. Smaller identical wetlands of equal cumulative area probably support lower numbers and cumulative richness of feeding waterbirds, unless they are close together in a complex.</t>
  </si>
  <si>
    <t>Contaminants in food webs are detrimental in the long term. This indicator denotes potential or actual exposure.</t>
  </si>
  <si>
    <t>Humans visiting wetlands commonly bring dogs, which potentially harass waterbirds. Even the simple presence of people on foot will cause many waterbirds to take flight (Burger 1981; Klein et al. 1995; Burger &amp; Gochfeld 1998). Although some species may habituate to frequent disturbance more readily than others, repeated intrusions drain the energy of many waterbirds. This is especially damaging during cold weather, or when birds (especially shorebirds) are stopping briefly to feed during long migrations.</t>
  </si>
  <si>
    <t>Human enjoyment of waterbirds (birding, hunting) is facilitated where wetlands are largely visible from major access points. This increases the value of any level of feeding waterbird function.</t>
  </si>
  <si>
    <t>Waterbirds prefer landscapes where multiple wetlands are present in close proximity, so that if birds are disturbed in one area, they can fly to alternate sites that serve as refuge and which may provide different but complementary water regimes and foods. Corridors can be important to ducks that must walk overland with their young to find other wetlands in which to feed or molt. Nesting waterbird richness in this region is depressed more by isolation when that occurs in small than in large wetlands (Gibbs et al. 1991).</t>
  </si>
  <si>
    <t>Most waterbirds favor emergent herbaceous vegetation rather than woody vegetation, partly because it provides food as well as cover. Herbaceous rather than woody vegetation is the most attractive nesting cover for most species of waterbirds (Bolenbaugh et al. 2011), partly because it provides food as well as cover. Trees near water edges discourage use of those areas by some waterbird species, probably because it potentially conceals or provides a perch for predators such as eagles and falcons (Shepherd &amp; Lank 2004, Sprague et al. 2008). Even tree-nesting species such as wood duck and goldeneye prefer nest sites with relatively open surroundings (Prince 1968).</t>
  </si>
  <si>
    <t>Many wetland songbirds and mammals may prefer landscapes where multiple wetlands are present in close proximity, so that if birds are disturbed in one area, they can use alternate sites which may provide different but complementary types of food and cover. Corridors can be important to small mammals moving between wetlands.</t>
  </si>
  <si>
    <t>Such wetlands may be considered more valuable because the rare species they host contribute disproportionately to songbird biodiversity at a regional scale. In New Brunswick, wetlands are used to a greater extent than other habitats by the bird species identified as being of highest conservation concern (Environment Canada 2013).</t>
  </si>
  <si>
    <t>Betts, M. G., G. J. Forbes, and A. W Diamond. 2007. Thresholds in songbird occurrence in relation to landscape structure. Conservation Biology, 21(4), 1046-1058.</t>
  </si>
  <si>
    <t>Environment Canada. 2013. Bird Conservation Strategy for Bird Conservation Region 14 and Marine Biogeographic Units 11 and 12 in New Brunswick: Atlantic Northern Forest, Bay of Fundy, and Gulf of St. Lawrence. Environment Canada, Ottawa, ON.</t>
  </si>
  <si>
    <t>More plant species occur in drier parts of wetlands than in parts that remain flooded for long duration. However, long duration flooding adds some aquatic species not otherwise found in wetlands.</t>
  </si>
  <si>
    <t>Inflowing streams bring plant propagules that can sprout and diversify wetland plant communities. Wetlands with surface water connections also tend to be more fertile, although suspended silt can reduce submerged aquatic plants.</t>
  </si>
  <si>
    <t>Trampling of native vegetation by recreationists can decrease seed germination and increase vulnerability to invasion by more tolerant invasive plants and ultimately reduce native plant richness. These and other Best Management Practices (BMPs) potentially reduce such damage.</t>
  </si>
  <si>
    <t>Prior designation of the wetland, by a natural resource or environmental protection agency, as some type of special protected area. Also, the potential and actual use of a wetland for low-intensity outdoor recreation, education, or research. The model assigns higher scores to greater visitor use. It does not account for some areas being valued more highly (e.g., as wilderness) because they have fewer visitors.</t>
  </si>
  <si>
    <t>The integrity or health of a wetland, as defined operationally by its vegetation composition and richness of native species. More broadly, the similarity of a wetland's structure, composition, and function with that of a reference wetland of the same type and landscape setting, operating within the bounds of natural or historical disturbance regimes (Adamus 1996).</t>
  </si>
  <si>
    <t xml:space="preserve">Rare native species are usually the first to disappear after a wetland is subjected to alteration of its water quality, hydrologic connectivity, or normal water or sediment regimes. Thus, their absence is sometimes indicative of past or ongoing impacts to the wetland's processes and condition. </t>
  </si>
  <si>
    <t xml:space="preserve">Wetlands are likely to be more resilient (less sensitive, thus lower weighting factor) if they are contiguous with or close to other natural cover, especially if it is extensive, because if an impact occurs to the wetland's vegetation, plant propagules from the surrounding landscape may speed recovery. Presence of natural vegetation in the surrounding landscape also may also help the wetland avoid the impact before it happens, by mitigating hydrologic and water quality alterations. </t>
  </si>
  <si>
    <t>Larger wetlands have a greater proportional area that is buffered against external disturbances and thus may be considered less sensitive. Small wetlands or more vulnerable to drying up as a result of climate change or changes in groundwater flow patterns, and many are poorly-buffered chemically against acifiying chemical inputs from precipitation (Freda 1986).</t>
  </si>
  <si>
    <t>Wetlands that are only saturated (no surface water) are more susceptible to year-to-year differences in precipitation, runoff, and flow. Some also are more vulnerable to invasion by non-native upland plants (Magee &amp; Kentula 2005). In contrast, persistently-inundated wetlands tend to be deeper and have more "buffer" against annual variation in available water.</t>
  </si>
  <si>
    <t xml:space="preserve">If a wetland lacks surface water outflow, nearly all contaminants that enter it will remain and be accumulated over time (Oberts 1977). This is particularly true of runoff-borne sediment, which can eventually fill a wetland and thus destroy it (Whited 2001, Whigham &amp; Jordan 2003, Leibowitz 2003). </t>
  </si>
  <si>
    <t>Because of its ability to fertilize soil, alder can speed biological recovery following disturbance [Gomi et al. 2006]. Wetlands without alder may be slower to recover and thus more sensitive.</t>
  </si>
  <si>
    <t xml:space="preserve">Organic soils are particularly sensitive because slight changes in the water table often cause rapid decomposition and/or compaction (subsidence) of this substrate, resulting in major shifts in characteristic plants and animal species as well as biogeochemical processes. Coarse soils are most resistant to compaction, though they are less moisture-retentive and dry out quickly. </t>
  </si>
  <si>
    <t xml:space="preserve">Wetlands are likely to be more resilient (less sensitive, thus lower weighting factor) if large and/or surrounded by other natural landscapes, and/or if they are near other wetlands of the same type, because if an impact occurs to the wetland's vegetation, plant propagules from the surrounding landscape may speed recovery. Presence of natural vegetation in the surrounding landscape also may also help the wetland avoid the impact before it happens, by mitigating hydrologic and water quality alterations. </t>
  </si>
  <si>
    <t xml:space="preserve">Wetlands adjoined by steep slopes are likely to be subject to more sediment and contaminant input, other factors being equal. </t>
  </si>
  <si>
    <t>Warmer parts of the region imply a longer period of time during which the ground remains unfrozen and during which vegetation can potentially remove water via evapotranspiration.</t>
  </si>
  <si>
    <t>Black Duck Nesting Area</t>
  </si>
  <si>
    <t>Conduc3</t>
  </si>
  <si>
    <t>CalcFen3</t>
  </si>
  <si>
    <t xml:space="preserve">Long-term retention of phosphorus can occur when soil or sediment contains high concentrations of aluminum or iron, mainly at low pH (Richardson et al. 1985), and to a lesser extent, calcium at higher pH (Bridgham et al. 1996).  Aluminum occurs most commonly in organic and clay soils.  Phosphorus is also retained in wetlands via plant uptake, but in organic soils, acidic conditions can inhibit plant capacity to take up and retain phosphorus (Prescott et al. 2000) and in most cases, this represents only a temporary retention.. </t>
  </si>
  <si>
    <t>P retention is expected to be considerable in calcareous fens because soluble P is precipitated by calcium when pH is basic, and those conditions typify calcareous fens..</t>
  </si>
  <si>
    <r>
      <t xml:space="preserve">A proliferation of algae and floating aquatics can indicate that the wetland is receiving more nutrients than it is capable of processing effectively. These non-rooted plants do not oxygenate the sediments, they take up and store nutrients only briefly, and their die-offs create anoxic conditions that mobilize phosphorus temporarily retained in sediments. In the calculations, abundant algae reduces the score but absence of blooms does not increase it. </t>
    </r>
    <r>
      <rPr>
        <i/>
        <sz val="10"/>
        <rFont val="Arial Narrow"/>
        <family val="2"/>
      </rPr>
      <t>In calculations, is excluded automatically (cell goes blank) if wetland never has surface water during an average year.</t>
    </r>
  </si>
  <si>
    <t>Burrell, B. C. and J. E. Anderson. 1991. Regional hydrology of New Brunswick. Canadian Water Resources Journal 16:317-330.</t>
  </si>
  <si>
    <t>Bridgham, S. D., J. Pastor, J. A. Janssens, C. Chapin, and T. J. Malterer. 1996. Multiple limiting gradients in peatlands: a call for a new paradigm. Wetlands 16:45-65.</t>
  </si>
  <si>
    <t>Richardson, C. J. 1985. Mechanisms controlling phosphorus retention capacity in freshwater wetlands. Science 228:1424-1427.</t>
  </si>
  <si>
    <t>Richardson, C. J., S. Qian, C. B. Craft, and R. G. Qualls. 1996. Predictive models for phosphorus retention in wetlands. Wetlands Ecology and Management 4:159-175.</t>
  </si>
  <si>
    <t>Many studies have highlighted the importance of subsurface (hyporheic) flow, or groundwater discharge, to denitrification rates in both riverine and non-riverine (e.g., Kroeger &amp; Charette 2008) wetlands. Groundwater in many regions is iron-rich, and addition or removal of nitrate can significantly affect the ecological mobility of iron and perhaps some other metals in wetland soils (Shrestha et al. 2011).</t>
  </si>
  <si>
    <t>Less canopy cover increases soil warming in spring which could accelerate denitrification, a major process for removing nitrate. However, tree roots can extend the subsurface zone of denitrification by oxidizing deeper subsurface areas. Trees also take up and temporarily retain nitrate, as well as adding carbon to the soil, which promotes denitrification. Therefore, a balanced interspersed mix of shading woody and non-shading herbaceous vegetation is hypothesized to enhance N removal.</t>
  </si>
  <si>
    <t>Damman, A. W. H. 1988. Regulation of nitrogen removal and retention in Sphagnum bogs and other peatlands. Oikos 51:291-305.</t>
  </si>
  <si>
    <t>Groffman, P. M., K. Butterbach-Bahl, R. W. Fulweiler, A. J. Gold, J. L. Morse, E. K. Stander, C. Tague, C. Tonitto, and P. Vidon. 2009. Challenges to incorporating spatially and temporally explicit phenomena (hotspots and hot moments) in denitrification models. Biogeochemistry 93:49–77.</t>
  </si>
  <si>
    <t xml:space="preserve">The presence of peat or muck implies the presence (at least historically) of a microclimate favorable to long-term retention of particulate carbon. Peat is also a poor substrate for methanogenesis (White et al. 2008) but that is also true of well-oxygenated coarse soils (Grunfeld &amp; Brix 1999). However, in very coarse soils the annual productivity of plants is often less than in clay/ loam soils because, unless the coarse soils are flooded regularly by rivers, they tend to be nutrient-poor. Moderately coarse soils (silts, loams), especially those with a large component of soil aggregates in the 2-8 mm range (Hossler &amp; Bouchard 2000), tend to have neutral pH and support greater plant productivity and thus more soil organic carbon. </t>
  </si>
  <si>
    <t>D’Amore, D. V., K. L. Oken, P. A. Herendeen, E. A. Steel, and P. E. Hennon. 2015. Carbon accretion in unthinned and thinned young-growth forest stands of the Alaskan perhumid coastal temperate rainforest. Carbon balance and management 10:1-12.</t>
  </si>
  <si>
    <t xml:space="preserve">Mosses contribute at least 48% of the productivity of some wetlands. Although the rate at which bogs store new carbon is relatively low, and because mosses decompose more slowly than woody and herbaceous plants, the peat layer in bogs and fens represents a considerable amount of carbon that already has been sequestered. Peat hummocks are particularly effective for sequestering carbon (Asada &amp; Warner 2005). On a per unit area basis, bogs and other moss-covered areas generate less methane than many other wetlands (Hines et al. 2006, 2008), </t>
  </si>
  <si>
    <t>Neilson, E. T., D. A. MacLean, F. R. Meng, and P. A. Arp. 2007. Spatial distribution of carbon in natural and managed stands in an industrial forest in New Brunswick, Canada. Forest Ecology and Management 253:148-160.</t>
  </si>
  <si>
    <t>Marinier, M., S. Glatzel, and T. R. Moore. 2004. The role of cotton-grass (Eriophorum vaginatum) in the exchange of CO2 and CH4 at two restored peatlands, eastern Canada. Ecoscience:141-149.</t>
  </si>
  <si>
    <t>Fenton, N., N. Lecomte, S. Légaré, and Y. Bergeron. 2005. Paludification in black spruce (Piceamariana) forests of eastern Canada: Potential factors and management implications. Forest Ecology and Management 213:151-159.</t>
  </si>
  <si>
    <t>Fissore, C., C. P. Giardina, R. K. Kolka, and C. C. Trettin. 2009. Soil organic carbon quality in forested mineral wetlands at different mean annual temperature. Soil Biology and Biochemistry 41:458-466.</t>
  </si>
  <si>
    <t>Gergel, S. E., M. G. Turner, and T. K. Kratz. 1999. Dissolved organic carbon as an indicator of the scale of watershed influence on lakes and rivers. Ecological Applications 9:1377-1390.</t>
  </si>
  <si>
    <t>Xenopoulos, M. A., D. M. Lodge, J. Frentress, T. A. Kreps, S. D. Bridgham, E. Grossman, and C. J. Jackson. 2003. Regional comparisons of watershed determinants of dissolved organic carbon in temperate lakes from the Upper Great Lakes region and selected regions globally. Limnology and Oceanography 48:2321-2334.</t>
  </si>
  <si>
    <t>Emi Fergus, C., P. A. Soranno, K. S. Cheruvelil, and M. T. Bremigan. 2011. Multiscale landscape and wetland drivers of lake total phosphorus and water color. Limnology and Oceanography 56:2127-2146.</t>
  </si>
  <si>
    <t>A wetland exposed to toxic substances has less or no capacity to sustain anadromous fish. Fish are especially sensitive to heavy metals such as copper (Scannell 2009).</t>
  </si>
  <si>
    <r>
      <t xml:space="preserve">Over the long term, beaver dam-building activities are highly beneficial to fish rearing habitat, creating pools used by fish as refuge, adding wood that provides fish cover, and increasing the overall productivity of river systems (Collen &amp; Gibson 2001). </t>
    </r>
    <r>
      <rPr>
        <i/>
        <sz val="10"/>
        <rFont val="Arial Narrow"/>
        <family val="2"/>
      </rPr>
      <t xml:space="preserve">In calculations, is excluded automatically (cell goes blank) if wetland never has ponded surface water during an average year. </t>
    </r>
  </si>
  <si>
    <t>Aquatic invertebrate communities (both benthic and planktonic) are harmed by excessive sedimentation and turbidity from sediment runoff. Sediment from timber-harvest activity (clearings and roads) can intensify the turbidity effects of spawning-salmon disturbance on macroinvertebrates. The deposition of fine sediment can limit populations of grazing invertebrates even when algal foods become more available following timber harvest (Kiffney &amp; Bull 2000).</t>
  </si>
  <si>
    <t>Betts, M. and G. G. Forbes. 2005. Forest management guidelines to protect native biodiversity in the Greater Fundy ecosystem. New Brunswick Co-operative Fish and Wildlife Research Unit, University of New Brunswick, Fredericton, NB.</t>
  </si>
  <si>
    <t>Jacobs, L. and J. E. Houlahan. 2011. Adjacent land-use affects amphibian community composition and species richness in managed forests in New Brunswick, Canada. Canadian Journal of Forest Research-Revue Canadienne De Recherche Forestiere 41:1687-1697.</t>
  </si>
  <si>
    <t>Patrick, D. A., A. J. K. Calhoun, and M. L. Hunter Jr. 2007. Orientation of juvenile wood frogs, Rana sylvatica, leaving experimental ponds. Journal of Herpetology 41:158-163.</t>
  </si>
  <si>
    <t>Stevens, C. E., A. W. Diamond, and T. S. Gabor. 2002. Anuran call surveys on small wetlands in Prince Edward Island, Canada restored by dredging of sediments. Wetlands 22:90-99.</t>
  </si>
  <si>
    <t>Mudflats and seasonally inundated shortgrass flats (including farmed wetlands, Taft &amp; Haig 2005) are important to large numbers of migratory waterbirds.</t>
  </si>
  <si>
    <t>LeBlanc, F. A., D. Gallant, L. Vasseur, and L. Leger. 2007. Unequal summer use of beaver ponds by river otters: influence of beaver activity, pond size, and vegetation cover. Canadian Journal of Zoology-Revue Canadienne De Zoologie 85:774-782.</t>
  </si>
  <si>
    <t>Shirley, S. 2004. The influence of habitat diversity and structure on bird use of riparian buffer strips in coastal forests of British Columbia, Canada. Canadian Journal of Forest Research-Revue Canadienne De Recherche Forestiere 34:1499-1510.</t>
  </si>
  <si>
    <t>Gallant, D., L. Vasseur, M. Dumond, E. Tremblay, and C. H. Berube. 2009. Habitat selection by river otters (Lontra canadensis) under contrasting land-use regimes. Canadian Journal of Zoology-Revue Canadienne De Zoologie 87:422-432.</t>
  </si>
  <si>
    <t xml:space="preserve">Lichens and mosses have been affected by edge-induced microclimate changes extending at least 50 ft into forested areas (Hylander et al. 2002, Boudreault et al. 2008) and as far as ~150 ft from the forest edge (Baldwin &amp; Bradfield 2005). In Oregon, selective thinning of forests that adjoined riparian buffers did not affect the herbaceous or shrub cover in the buffers when they were wider than ~50 ft (Anderson &amp; Meleason 2009). Thinning can increase the distance seeds disperse into the forest and the number that disperse successfully (Cadenasso et al. 2001). One study found that where more than 50% of the basal area was cut, a significantly different plant community structure resulted. Partial cutting did not significantly change abundance for most of the important forage species for deer. </t>
  </si>
  <si>
    <t>AVERAGE (WoodyHtDiv, ShrubDiv, WoodPatt, TreeTypes)</t>
  </si>
  <si>
    <t>AVERAGE(ISOwet, SatPct, MAX(SeasWpct, PermWpct), Depth, DepthEven)</t>
  </si>
  <si>
    <t>Sloping wetlands retain surface runoff and precipitation for shorter times.</t>
  </si>
  <si>
    <t>Wetlands that store floodwater are more valuable if they are in the headwaters of a watershed, placing them above areas which might otherwise be damaged by floods.</t>
  </si>
  <si>
    <t>ShedPos1</t>
  </si>
  <si>
    <t>Wetlands that contribute to stream flow are more valuable if they are in the headwaters of a watershed, because small and intermittent streams are most likely to be prevalent there, and the proportion of their base flow that is affected by wetlands there is likely to be greater than in lowlands.</t>
  </si>
  <si>
    <t>Snow tends to accumulate more on north-facing slopes due to less sun exposure, and water losses from evapotranspiration are less. Consequently, streamflow fed by such slopes may persist longer into drier periods.</t>
  </si>
  <si>
    <t>Anadromous fish in this region are highly sensitive to warm temperatures, so wetlands that cool or maintain natural water temperatures could be considered more valuable.</t>
  </si>
  <si>
    <t>ShedPos7</t>
  </si>
  <si>
    <t>Wetlands that contribute cooler water to stream flow are more valuable if they are in the headwaters of a watershed, because small and intermittent streams are most likely to be prevalent there, and the proportion of their base flow (and thus their temperature) that is affected by wetlands there is likely to be greater than in lowlands.</t>
  </si>
  <si>
    <t xml:space="preserve">Wetlands with large contributing areas are likely to receive more suspended sediment and thus have more opportunity to trap sediment, which potentially increases their value as protectors of downstream water quality. </t>
  </si>
  <si>
    <t>Sediment deposition (and P-retention, which sometimes correlates with that) increases as the ratio of the volume of a storage basin (e.g., wetland) to the volume of runoff entering the basin from its contributing area increases (Heinemann 1981).</t>
  </si>
  <si>
    <t>If excessive phosphorus from upslope is entering a wetland, this provides more opportunity for the wetland to retain P and thus increases the value of any P-retention that the wetland provides.  High P levels often correspond with high levels of other pollutants.</t>
  </si>
  <si>
    <t>If excessive sediment from upslope is entering a wetland, this provides more opportunity for the wetland to trap sediment and associated metals and hydrocarbons.  This increases the value of any retention capacity that the wetland provides.  High levels of incoming suspended sediment often correspond with high levels of other pollutants.</t>
  </si>
  <si>
    <t>PsampDown3</t>
  </si>
  <si>
    <t>PsampUp3</t>
  </si>
  <si>
    <t>If excessive nitrate from upslope is entering a wetland, this provides more opportunity for the wetland to remove N and thus increases the value of any N-retention that the wetland provides.  High nitrate levels often correspond with high levels of other pollutants.</t>
  </si>
  <si>
    <t>Vehicle emissions contain substantial N products, so road traffic often results in increased nitrogen deposition in wetlands.  This increases the opportunity for N-removal, and thus the value of a wetland's capacity for N removal. Also, N removal efficiency increases exponentially with N deposition (especially when deposition is 0.25 to 0.50 g of N per year (Bragazza et al. 2004).</t>
  </si>
  <si>
    <t>Population centers, even when they do not drain into wetlands, can provide wetlands with more opportunity to remove N because population centers often generate more airborne N as a result of greater vehicle traffic, and this enters wetlands as N deposition.</t>
  </si>
  <si>
    <t>RdDist4</t>
  </si>
  <si>
    <t>NsampUp</t>
  </si>
  <si>
    <t>NsampDown</t>
  </si>
  <si>
    <t>Total available nitrogen in soil increases with increasing density of nitrogen-fixers such as red alder (Sanborn et al. 2002, Cortini &amp; Comeau 2008). Consequently, wetland contributing areas with a large proportion of alder often export more nitrate to wetlands (Compton et al. 2003, Cairns &amp; Lajtha 2005, Shaftel et al. 2012, Greathouse et al. 2014). Because this provides wetlands with increased opportunity to process the N, it increases the value of their role in the local ecosystem.</t>
  </si>
  <si>
    <t>Floodplain wetlands are notably effective for removing N via denitrification and that process is limited by available carbon more than it is in bogs (Pinay et al. 2003). Bogs are typically nitrogen-poor (Heilman 1966) and thus are able to rapidly take up much of the nitrate that reaches them. Their acidic conditions inhibit generation of nitrous oxide as well as inhibiting nitrification (Dammann 1988) and the removal of nitrate via denitrification (Pinay et al. 2003). Denitrification is more prominent in fens and marshes than in acidic bogs. Bogs tend to cycle nitrogen internally and remove added N (Li &amp; Vitt 1997, Bayley &amp; Mewhort 2004), although due to acidic conditions and other factors, mosses in some wetlands have less capacity to take up apparently available N than do vascular plants (Heijmans et al. 2002, Berendse et al. 2001). Forested wetlands, especially those with an alder component or on slopes, may have less capacity to remove N via denitrification and may actually add nitrate via N fixation (Fellman &amp; D’Amore 2007).</t>
  </si>
  <si>
    <r>
      <t xml:space="preserve">Like a constricted outlet, vegetation and other obstacles create a "roughness" within a wetland that can slow the water and allow more time for biological processing of nitrate. This is much truer if the vegetation intercepts a large proportion of the flow during high-flow periods (i.e., is not merely along an upland edge that never floods). Water takes longer to move through complex channel networks (e.g., braided or sinuous) which themselves provide additional friction, thus allowing more suspended sediment and the nitrate associated with it to be deposited. Increased channel complexity also implies greater interspersion of open water and vegetation (see above) and in some cases, more hyporheic flow -- both of which favor nitrate removal. Wetlands with a sheet flow pattern often retain more nitrate than channelized systems (Morris et al. 1981, Knox et al. 2008). </t>
    </r>
    <r>
      <rPr>
        <i/>
        <sz val="10"/>
        <rFont val="Arial Narrow"/>
        <family val="2"/>
      </rPr>
      <t>In calculations, is excluded automatically (cell goes blank) if wetland never has surface water during an average year or if no surface inflows.</t>
    </r>
  </si>
  <si>
    <t xml:space="preserve"> Constructed (and some restored) wetlands typically have lower soil organic matter (Shaffer &amp; Ernst 1999), and that deficit limits the denitrification that otherwise removes nitrate. Thus, new wetlands would be expected to release the more nitrate to downstream waters. However, the proportion of incoming nitrate that is exported in some cases is greater in soils that are more fertile, i.e., nearing nitrate saturation, with a C:N ratio lower than 25 (e.g., Gundersen et al. 2006).</t>
  </si>
  <si>
    <t xml:space="preserve">Dense vegetation offers frictional resistance to runoff, promoting deposition of organic nitrogen and resisting erosion of N-containing sediments. Vegetation takes up nitrate at least seasonally and plant roots can promote denitrification by providing a carbon source (Lin et al. 2002) and oxidizing otherwise anoxic subsurface soils (Brix 1994). However, shade from plants reduces soil temperature which slows the denitrification rate (Hogg &amp; Lieffers 1991), and emissions of harmful nitrous oxide can be greater in wetlands with denser vegetation. </t>
  </si>
  <si>
    <t>Pavement and other impervious surfaces facilitate transport of N-bearing runoff into downslope wetlands, thus increasing opportunities for N-removal.  Increased opportunity translates into increased value of the wetland's N-removal service.</t>
  </si>
  <si>
    <t>Burn5</t>
  </si>
  <si>
    <t xml:space="preserve">Of the wetland types listed, riparian and marsh wetlands are typically most important to anadromous fish because they have the most water and are the most accessible. When accessible, other wetland types are used but invertebrate foods may be less abundant due to acidic conditions. </t>
  </si>
  <si>
    <t xml:space="preserve">Leaves of nitrogen-fixing plants such as alder have been shown to support higher densities and richness of aquatic and terrestrial invertebrates (Wipfli et al. 2007, Wipfli &amp; Musselwhite 2004, LeSage et al. 2005). From that, it can be inferred that fish production should be higher as well, where food is limiting fish survival. </t>
  </si>
  <si>
    <r>
      <t xml:space="preserve">Many studies have demonstrated the importance to anadromous fish of streams and wetlands that are inundated only seasonally, provided fish can enter and exit them then (e.g., Brown &amp; Hartman 1988, Nickelson et al. 1992, Freeman et al. 2007, Meyer et al. 2007, Welsch &amp; Hodgson 2008). Even during brief periods of high water, fish enter those areas and gorge themselves on invertebrates made more available by the flooding. </t>
    </r>
    <r>
      <rPr>
        <i/>
        <sz val="10"/>
        <rFont val="Arial Narrow"/>
        <family val="2"/>
      </rPr>
      <t>In calculations, is excluded automatically (cell goes blank) if wetland never has surface water during an average year.</t>
    </r>
  </si>
  <si>
    <r>
      <t xml:space="preserve">Greater interspersion of open water with vegetation provides fish with greater access to food sources, such as insects falling off emergent plants. </t>
    </r>
    <r>
      <rPr>
        <i/>
        <sz val="10"/>
        <rFont val="Arial Narrow"/>
        <family val="2"/>
      </rPr>
      <t>In calculations, is excluded automatically (cell goes blank) if wetland never has surface water during an average year, if no ponded water, if ponded water but no vegetation, if ponded but no open water.</t>
    </r>
  </si>
  <si>
    <t xml:space="preserve">Especially in riverine wetlands, groundwater (hyporheic flow) that discharges into wetlands is extremely important to salmonids because of its cooler temperature. However, in some instances this "iron floc" decreases the oxygen required by fish and smothers fish spawning gravels. Groundwater influx is sometimes indicated by an orange precipitate, indicating the presence of iron oxidizing bacteria (Dickman &amp; Rygiel 1998). </t>
  </si>
  <si>
    <t>Excessive sediment in spawning areas smothers fish eggs, limits aquatic productivity, contributes to surface water warming, and thus potentially adversely affects anadromous fish habitat (Kemp et al. 2011, Sear et al. 2008). It also is directly stressful to fish. However, in some cases moderate turbidity can provide cover from aerial predators.</t>
  </si>
  <si>
    <r>
      <t xml:space="preserve">Fish access to wetlands is better if an outlet is present and outflows from the wetland are persistent. Although isolated wetlands with persistent surface water can support some resident fish, a permanent connection to other surface waters increases the ability of fish to move among wetlands and other surface waters in search of food and other needs. </t>
    </r>
    <r>
      <rPr>
        <i/>
        <sz val="10"/>
        <rFont val="Arial Narrow"/>
        <family val="2"/>
      </rPr>
      <t>In calculations, is excluded automatically (cell goes blank) if wetland never has surface water during an average year.</t>
    </r>
  </si>
  <si>
    <t>Feeley, H., Kerrigan, C., Fanning, P., Hannigan, E. and Kelly-Quinn, M. 2011 Longitudinal extent of acidification effects of plantation forest on benthic macroinvertebrate communities in soft water streams: evidence for localised impact and temporal ecological recovery. Hydrobiologia 671, 217–26.</t>
  </si>
  <si>
    <t xml:space="preserve">Streams adjoined by natural vegetation provide shade that helps maintain water temperature, as well as contributing terrestrial insects (Wipfli 1997) and supporting richer and healthier aquatic invertebrate communities. All of these factors help support anadromous fish. Within 90 years after clear-cut logging without a 100-ft wide stream-side buffer, LWD could be reduced by 70% and recovery to prelogging levels would take more than 250 years. Also, establishment of conifer plantations can acidify receiving waters and potentially harm Atlantic salmon eggs (Kreutzweiser et al. 2008, Drinan et al. 2013, Malcolm et al. 2014).  However, overall intensity of land use and forest fragmentation in a stream’s watershed sometimes has a greater influence on stream fish abundance than does buffer width (e.g., Shandas &amp; Alberti 2009, Stephenson &amp; Morin 2009). The effects of buffer width or proportion of forest in the watershed can also be overshadowed by differences in stream substrate type and flow duration (Roy et al. 2005). </t>
  </si>
  <si>
    <t>High levels of contaminants (especially heavy metals such as copper) can be detrimental to anadromous fish.</t>
  </si>
  <si>
    <t>Acid9</t>
  </si>
  <si>
    <r>
      <t xml:space="preserve">Over the long term, beaver dam-building activities are highly beneficial to fish rearing habitat, creating pools used by fish as refuge, adding wood that provides fish cover, and increasing the overall productivity of river systems (Collen &amp; Gibson 2001). </t>
    </r>
    <r>
      <rPr>
        <i/>
        <sz val="10"/>
        <rFont val="Arial Narrow"/>
        <family val="2"/>
      </rPr>
      <t xml:space="preserve">In calculations, is excluded automatically (cell goes blank) if wetland never has surface water during an average year. </t>
    </r>
  </si>
  <si>
    <t xml:space="preserve">Of the wetland types listed, riparian and marsh wetlands are typically most important because they have the most water and are the most accessible to resident fish. When accessible, other wetland types are used but invertebrate foods may be less abundant in those due to acidic conditions. </t>
  </si>
  <si>
    <t>Conduc10</t>
  </si>
  <si>
    <t>Beaver10</t>
  </si>
  <si>
    <t>Acid4</t>
  </si>
  <si>
    <t>WoodHerbMix8</t>
  </si>
  <si>
    <t>Conduc8</t>
  </si>
  <si>
    <r>
      <t xml:space="preserve">Downed wood provides food, cover, and a stable microclimate for many salamanders (Patrick et al. 2006) as well as frogs and toads that move between wetlands (Freedman et al. 1996) but its presence may not be enough to offset broader changes in land cover (Popescu et al. 2012). </t>
    </r>
    <r>
      <rPr>
        <i/>
        <sz val="10"/>
        <rFont val="Arial Narrow"/>
        <family val="2"/>
      </rPr>
      <t>In calculations, is excluded automatically (cell goes blank) if few or no trees of any kind are present.  If downed wood is numerous it is scored as a 1 but if absent this indicator is ignored in model calculations.</t>
    </r>
  </si>
  <si>
    <r>
      <t xml:space="preserve">Downed wood provides food, cover, and a stable microclimate for many  invertebrates that live in soil and peat of wetlands that seldom flood. In calculations, is excluded automatically (cell goes blank) if little or no woody vegetation in the wetland.  </t>
    </r>
    <r>
      <rPr>
        <i/>
        <sz val="10"/>
        <rFont val="Arial Narrow"/>
        <family val="2"/>
      </rPr>
      <t>In calculations, is excluded automatically (cell goes blank) if few or no trees of any kind are present.  If downed wood is numerous it is scored as a 1 but if absent this indicator is ignored in model calculations.</t>
    </r>
  </si>
  <si>
    <r>
      <t>Downed wood provides cover for many small mammals. Downed wood is often the result of natural windthrow, which also creates small patches of semi-open canopy within blocks of forest and in so doing can support a larger number of wildlife species, despite the temporary loss of nest trees (Zmihorski 2010). In calculations, is excluded automatically (cell goes blank) if wetland has few or no trees.</t>
    </r>
    <r>
      <rPr>
        <i/>
        <sz val="10"/>
        <rFont val="Arial Narrow"/>
        <family val="2"/>
      </rPr>
      <t xml:space="preserve"> In calculations, is excluded automatically (cell goes blank) if few or no trees of any kind are present.  If downed wood is numerous it is scored as a 1 but if absent this indicator is ignored in model calculations.</t>
    </r>
  </si>
  <si>
    <r>
      <t>Lack of one dominant shrub species suggests higher shrub richness, which has the potential to provide more food sources to more species throughout a season.</t>
    </r>
    <r>
      <rPr>
        <i/>
        <sz val="10"/>
        <rFont val="Arial Narrow"/>
        <family val="2"/>
      </rPr>
      <t xml:space="preserve"> In calculations, is excluded automatically (cell goes blank) if wetland has &lt;5% shrub cover.  If second choice is marked this indicator is scored as a 1 but if first choice is marked this indicator is ignored in model calculations.</t>
    </r>
  </si>
  <si>
    <r>
      <t xml:space="preserve">Some of these features are important to bank-living beavers, swallows, and swifts.  </t>
    </r>
    <r>
      <rPr>
        <i/>
        <sz val="10"/>
        <rFont val="Arial Narrow"/>
        <family val="2"/>
      </rPr>
      <t>If present this indicator is scored as a 1 but if absent this indicator is ignored in model calculations.</t>
    </r>
  </si>
  <si>
    <t>Interspersion of a balanced mix of concealing woody cover and warmer more food-rich openings of herbaceous vegetation probably provides optimal terrestrial habitat for most amphibians and turtles.</t>
  </si>
  <si>
    <t>WoodHerbMix11</t>
  </si>
  <si>
    <t>Waterbirds prefer landscapes where multiple wetlands are present in close proximity, so that if birds are disturbed in one area, they can fly to alternate sites that serve as refuge and which may provide different but complementary water regimes and foods. Although they will fly much farther than 1 km to reach other wetlands and water bodies (Haig et al. 1998), 1 km is used as a practical distance for identifying such features in aerial images.</t>
  </si>
  <si>
    <t>Conduc4</t>
  </si>
  <si>
    <r>
      <t xml:space="preserve">Higher levels of N are commonly associated with higher levels of conductivity and TDS.  Higher N concentrations indicate more opportunity for the wetland to remove N, thus making its provision of this service more valuable to downstream waters. </t>
    </r>
    <r>
      <rPr>
        <i/>
        <sz val="10"/>
        <rFont val="Arial Narrow"/>
        <family val="2"/>
      </rPr>
      <t>In calculations, is assigned score of 1 if TDS&gt;300 mg/L or conductivity is &gt;200 µS/cm or if plants indicate highly saline conditions.  is excluded automatically (cell goes blank and ignored in model calculations) if not measured or lower levels are present.</t>
    </r>
  </si>
  <si>
    <t>Bduck13</t>
  </si>
  <si>
    <t>BuffPerim14</t>
  </si>
  <si>
    <t>Stressors (Lack of)</t>
  </si>
  <si>
    <t>HerbUniq14</t>
  </si>
  <si>
    <t>Rocky and other bare areas are more likely to support burrows for pollinator nests and mud for hive construction (Moisan-Deserres et al. 2014a).</t>
  </si>
  <si>
    <t>A small proportion of bare earth is important to some burrowing pollinators, but too much is at the expense of plants that provide pollen (Moisan-Deserres et al. 2014a).</t>
  </si>
  <si>
    <t>BuffPerim0</t>
  </si>
  <si>
    <t>BuffLUtype0</t>
  </si>
  <si>
    <r>
      <t xml:space="preserve">See above. </t>
    </r>
    <r>
      <rPr>
        <i/>
        <sz val="10"/>
        <rFont val="Arial Narrow"/>
        <family val="2"/>
      </rPr>
      <t xml:space="preserve"> In calculations, is ignored if &gt;90% of the wetland perimeter has a vegetated buffer. In other situations, the indicator score is set to 0 if impervious but otherwise is ignored in the model calculations.</t>
    </r>
  </si>
  <si>
    <t xml:space="preserve">Dominance of Most Abundant Shrub Species </t>
  </si>
  <si>
    <t>ShrubDiv0</t>
  </si>
  <si>
    <t>A wider variety of herbaceous plant species suggests greater availability of pollen and nectar throughout the year, and this helps sustain diverse pollinator populations.</t>
  </si>
  <si>
    <t>A wider variety of woody plant species suggests greater availability of pollen and nectar throughout the year, and this helps sustain diverse pollinator populations.</t>
  </si>
  <si>
    <t>HerbUniq0</t>
  </si>
  <si>
    <t>WoodyUniq0</t>
  </si>
  <si>
    <t>Toxic0</t>
  </si>
  <si>
    <t>The widest variety and/or greatest abundance of pollinators is likeliest to occur in areas surrounded at least partially by, or close to, unmanaged vegetation (Moisan-Deserres et al. 2014b, Cutler et al. 2015).</t>
  </si>
  <si>
    <t>&lt;50 m, but completely separated from the 375-ha vegetated area by those features, and AA does not contain &gt;375 ha of vegetation.</t>
  </si>
  <si>
    <t>Native pollinators are most abundant and diverse where naturally vegetated areas are nearby.  Distance to such areas is often a strong predictor (Westphal et al. 2006, Ricketts et al. 2008, Garibaldi et al. 2011).  However, the minimum size of such patches that is capable of influencing pollinators is unknown.</t>
  </si>
  <si>
    <t>DistNat0</t>
  </si>
  <si>
    <t>Pollinators may be especially valuable if the wetland contains a rare plant species dependent on insect pollination (Jones &amp; Klemetti 2012).</t>
  </si>
  <si>
    <t>Although some non-native plants attract pollinators, many of those plants tend to be invasive, reducing the overall diversity of plant species available for pollination at different times of the season (Thijs et al. 2012). A broad seasonal distribution of available pollen and nectar sources is critical to maintaining pollinator diversity.</t>
  </si>
  <si>
    <t>Amphibians require upland habitat as well as aquatic habitat (Baldwin et al. 2006b). Uplands that are dominated by natural vegetation, especially natural forest within 1 km, usually provide the most suitable microclimates and habitat structure (Mazerolle et al. 2005, Baldwin et al. 2006a). Unvegetated or artificially vegetated areas, such as clearcuts and tree plantations (Waldick et al. 1999, Patrick et al. 2006), can inhibit movements of some species within upland habitats and reduce population viability. When radiotracked frogs on Vancouver Island were released inside clusters of trees amidst otherwise unsuitable habitat (clearcuts), the proportion of frogs abandoning the tree cluster was greater the smaller the cluster. Frogs were less likely to leave tree patches intersected by a running stream or where neighborhood stream density was high. Scattered tree patches of at least 1 ha, preferably in stream locations, were the minimum needed to allow normal overland passage of one frog species (Chan-McLeod &amp; Moy 2007). The amount of forest surrounding a wetland is a strong positive predictor of amphibian richness and/or abundance (Findlay &amp; Houlahan 1997), even more so than the amount of other surrounding wetlands (Quesnelle et al. 2015).  However, on Prince Edward Island, no evidence was found to suggest that patch area or perimeter affects amphibian species richness (Silva et al. 2003).</t>
  </si>
  <si>
    <t xml:space="preserve">Larger wetlands generally support more bird species than smaller ones (Findlay &amp; Houlahan 1997) as well as being used disproportionately by some species. Smaller identical wetlands of equal cumulative area might support equal or greater cumulative richness of songbirds and mammals, especially if they are close together and connected with corridors of undeveloped land. For predicting bird diversity, some evidence from peatlands (Calme and Desrochers 2000) suggests that wetland size may be less important than microhabitat heterogeneity (which is represented by other indicators). </t>
  </si>
  <si>
    <t xml:space="preserve">Wetlands already dominated by non-native invasive species are likely to be more resistant to further impacts to their remaining plant communities from additional invasive plant species (Werner et al. 2002, Wigand et al. 2003, Stohlgren et al. 2002), </t>
  </si>
  <si>
    <r>
      <t xml:space="preserve">Plant species richness within a site may be broadly associated with a diversity of height classes, especially if combined with a mix of conifer and deciduous trees/shrubs in each height class (Brandt et al. 2015).  </t>
    </r>
    <r>
      <rPr>
        <i/>
        <sz val="10"/>
        <rFont val="Arial Narrow"/>
        <family val="2"/>
      </rPr>
      <t>Score is based on number of height-form classes (of a possible 6) that are present.</t>
    </r>
  </si>
  <si>
    <r>
      <t>Wetland plant species richness often correlates positively with presence of a relatively even and dispersed mix of herbaceous and woody vegetation within the wetland (Brandt et al. 2015).  Sparse woody cover sometimes indicates overgrazing by deer, which reduces plant diversity (Thiemann et al. 2009, Martin et al. 2010).</t>
    </r>
    <r>
      <rPr>
        <i/>
        <sz val="10"/>
        <rFont val="Arial Narrow"/>
        <family val="2"/>
      </rPr>
      <t xml:space="preserve"> In calculations, is excluded automatically (cell goes blank) if little or no woody cover is present.</t>
    </r>
  </si>
  <si>
    <r>
      <t>Partly because of the greater nutrient levels and relative hydrologic stability of most groundwater (Langlois et al. 2015), several plant species thrive best where a wetland's surface water originates most directly from groundwater (e.g., Radies et al. 2009).</t>
    </r>
    <r>
      <rPr>
        <i/>
        <sz val="10"/>
        <rFont val="Arial Narrow"/>
        <family val="2"/>
      </rPr>
      <t xml:space="preserve"> In calculations, is excluded automatically (cell goes blank) if no evidence of groundwater influx; otherwise is rated based on response in column D.</t>
    </r>
  </si>
  <si>
    <t>In Ontario, forested wetlands with the most plant species were those with the largest areas and the largest proportion of upland forest within 250 m of the wetlands (Houlahan et al. 2006). However, one study found that forested wetlands in developed landscapes had community composition and structure similar to those in undeveloped landscapes, with number of exotic species being no greater (Ehrenfeld 2005)</t>
  </si>
  <si>
    <t>Burn20</t>
  </si>
  <si>
    <r>
      <t xml:space="preserve">The germination of many plant species is triggered by the interaction of water conditions and season (light). Homogenization or alteration of the natural water regime can thus encourage invasive species at the expense of native flora (Zedler &amp; Kercher 2004, Catford et al. 2011). Inundation at aberrant times of the year can reduce native plant diversity because most native species have evolved in close synchronization with natural seasonal water regimes. Any development that involves increasing the area of lawn or impervious surface is likely to increase runoff amount and concentrate it within shorter time periods, i.e. “pulses” “flashiness” (Booth &amp; Jackson 1997, Booth et al. 2002, DeGasperi et al. 2009). This makes wetlands more susceptible to invasion by non-native plants (Magee &amp; Kentula 2005).  </t>
    </r>
    <r>
      <rPr>
        <i/>
        <sz val="10"/>
        <rFont val="Arial Narrow"/>
        <family val="2"/>
      </rPr>
      <t>In calculations, is excluded automatically (cell goes blank) if wetland has no surface water inflow.</t>
    </r>
  </si>
  <si>
    <r>
      <t xml:space="preserve">In many regions, wetlands with extensive seasonal flooding tend to have greater plant species richness (Pollack et al. 1998). Seasonal inundation brings in external nutrients to riverine wetlands, and in all wetlands is necessary for seed germination of many wetland plant species. For determining the number of plants and number of species that germinate, the monthly timing of first soil moistening may be more important than the duration of the pre-inundation moist period or the length of inundation (Bliss &amp; Zedler 1997). </t>
    </r>
    <r>
      <rPr>
        <i/>
        <sz val="10"/>
        <rFont val="Arial Narrow"/>
        <family val="2"/>
      </rPr>
      <t xml:space="preserve">In calculations, is excluded automatically (cell goes blank) if wetland never has surface water during an average year. </t>
    </r>
  </si>
  <si>
    <r>
      <t xml:space="preserve">Wetlands not dominated by one or two plant species are generally more diverse (e.g., Houlahan &amp; Findlay 2004). </t>
    </r>
    <r>
      <rPr>
        <i/>
        <sz val="10"/>
        <rFont val="Arial Narrow"/>
        <family val="2"/>
      </rPr>
      <t>In calculations, is excluded automatically (cell goes blank) if little or no exposed herbaceous cover is present.</t>
    </r>
  </si>
  <si>
    <t>At least in herbaceous wetlands, infrequent moderate-intensity fires diversify the herbaceous plant community, partly by releasing nutrients bound in soils and vegetation, and reducing shade and competition (e.g., de Szalay &amp; Resh 1997).</t>
  </si>
  <si>
    <t>Although burning potentially releases (rather than sequesters) large amounts of carbon from wetland soils, in the longer term, mosses recover within a few decades of surface burns (Kuhry 1994), and occasional surface burning can concentrate soil inorganic material in surface peat, thereby decreasing fuel quality and the likelihood of supporting severe fires in the future.  Loss of soil organic matter from burning can also result in a drop in wetland surface elevation, thus promoting wetter conditions and increasing fire resistance for years post-burn (Watts et al. 2015).  Although burning produces a period of minimal carbon storage immediately post-fire, vegetation recovery through succession within a few decades promotes long-term persistence of vegetation communities with greater rates of carbon sequestration than those of unburned (late successional) communities (Benscoter et al. 2012).</t>
  </si>
  <si>
    <t>Seeds of non-native plants commonly are carried by humans and their pets. Non-native plants can decrease plant species richness of the wetland. In the Kenai Peninsula of Alaska,significantly fewer nonnative species were found beyond a 500-m distance from a trailhead. High-use trails, especially those in open-canopied areas, exhibited the greatest numbers of nonnative species at the farthest distances from the trailhead and contained a greater number of less common nonnative species.</t>
  </si>
  <si>
    <t>Red alder often occurs in mildly disturbed settings, and through its ability to increase soil fertility by fixing nitrogen, can increase the cover and perhaps the diversity of understory plants. However, as alder stands age, they form a closed canopy which can block light and reduce understory plant richness.</t>
  </si>
  <si>
    <t>Calcareous fens often support more plant species than other wetlands of similar size, and the species they support are usually among the regionally rarest (Hinds 1983, Hill &amp; Keddy 1992, Mullen et al. 2000, Hinds 2000, McClellan et al. 2003).</t>
  </si>
  <si>
    <r>
      <t xml:space="preserve">Wetlands with naturally fluctuating water levels tend to have greater plant species richness, at least in Southeast Alaska floodplains (Pollack et al. 1998). Duration, frequency, and timing of inundation may be more important than magnitude of fluctuation, but cannot be estimated during a single visit to an ungaged wetland. Prolonged deep flooding can reduce plant species richness (Bayley &amp; Guimond 2009). </t>
    </r>
    <r>
      <rPr>
        <i/>
        <sz val="10"/>
        <rFont val="Arial Narrow"/>
        <family val="2"/>
      </rPr>
      <t>In calculations, is excluded automatically (cell goes blank) if wetland never has surface water during an average year, or if none of it floods only seasonally.</t>
    </r>
  </si>
  <si>
    <t>Conduc20</t>
  </si>
  <si>
    <t>Acidic20</t>
  </si>
  <si>
    <t>Larger wetlands generally support more plant species than smaller ones (Weiher &amp; Boylen 1994, Findlay &amp; Houlahan 1997, Matthews 2004, Houlahan et al. 2006) although in some landscapes, smaller identical wetlands of equal cumulative area support equal or greater cumulative richness of plants (Peintinger et al. 2003).</t>
  </si>
  <si>
    <t>In this region, amphibians have been shown to occur more frequently in wetlands located close to other wetlands, or with a large number of other wetlands in close proximity (Stevens et al. 2002, Mazerolle et al. 2005, Jacobs &amp; Houlahan 2011). That is because many species in these groups move regularly among wetlands in order to meet different life history needs (Gibbs 1993).</t>
  </si>
  <si>
    <t>Such wetlands may be considered more valuable because the rare species they host contribute disproportionately to amphibian biodiversity at a regional scale.</t>
  </si>
  <si>
    <t>Pearl, C., M. Adams, N. Leuthold, and R. Bury. 2005. Amphibian occurrence and aquatic invaders in a changing landscape: implications for wetland mitigation in the Willamette Valley, Oregon, USA. Wetlands 25:76-88.</t>
  </si>
  <si>
    <t>Silva, M., L. A. Hartling, S. A. Field, and K. Teather. 2003. The effects of habitat fragmentation on amphibian species richness of Prince Edward Island. Canadian Journal of Zoology 81:563-573.</t>
  </si>
  <si>
    <t>The type of non-natural land cover that surrounds a wetland can influence dispersal success of amphibians. Unvegetated lands are usually the least suitable. Clearcuts may be better but perhaps still not as suitable as natural cover on soils of similar productivity (Waldick et al. 1999).</t>
  </si>
  <si>
    <t xml:space="preserve">During certain times of their life cycle, frogs, turtles, and salamanders must move from their breeding wetlands into other wetlands or uplands with natural vegetation (Patrick et al. 2007, 2008). Pavement and other open surfaces act as barriers to these essential movements, and individuals that do attempt to cross roads are often crushed by vehicles (see above). In Ontario (Eigenbrod 2008a) and Virginia (Marsh 2007), “accessible habitat” -- defined as the habitat available to pond-dwelling amphibians without individuals needing to cross a major road -- was a better predictor of amphibian species richness than simply the amount of habitat within some distance of breeding ponds (Eigenbrod 2008b). </t>
  </si>
  <si>
    <r>
      <t xml:space="preserve">Populations of some amphibians seem to thrive best in fishless wetlands.  In some regions, predatory fish (especially, exotic species) severely reduce populations of native species (Pearl et al. 2005). </t>
    </r>
    <r>
      <rPr>
        <i/>
        <sz val="10"/>
        <rFont val="Arial Narrow"/>
        <family val="2"/>
      </rPr>
      <t>In calculations, if wetland is fishless it is scored as a 1 but if fish present this indicator is ignored in model calculations.</t>
    </r>
  </si>
  <si>
    <r>
      <t>During certain months of the year many salamanders and some frogs and toads require the moist microclimate and abundant invertebrate foods found in or under large downed wood in the uplands surrounding wetlands. Forests with large-diameter trees are most likely to have such conditions and in this region, American bullfrog and mink frog are more likely to occur in wetlands with nearby mature and overmature forest (Jacobs &amp; Houlahan 2011). The dominant type of vegetation, both near a stream and in a watershed generally, also has the potential to strongly influence aquatic productivity (Ball et al. 2010) and thus tadpole survival, with deciduous vegetation usually indicating greater nutrient and light availability. However, one survey in this region found fewer amphibian species in wetlands surrounded by hardwood (deciduous) forest (Jacobs &amp; Houlahan 2011). The formula used here gives equal weight to the variety of classes and increasing mean diameter.</t>
    </r>
    <r>
      <rPr>
        <i/>
        <sz val="10"/>
        <rFont val="Arial Narrow"/>
        <family val="2"/>
      </rPr>
      <t xml:space="preserve"> In calculations, is excluded automatically (cell goes blank) if few or no trees of any kind are present.</t>
    </r>
  </si>
  <si>
    <r>
      <t xml:space="preserve">Although shade provided by wider buffers is beneficial to many aquatic species, populations of a few species of native frogs, pond-breeding salamanders, and aquatic invertebrates sometimes increase following partial removal of woody cover. Gaps in woody cover imply less shading and thus warmer water temperatures and algae, increasing aquatic productivity as long as sediment inputs do not increase greatly at the same time (Murphy et al. 1981, Hawkins et al. 1983). </t>
    </r>
    <r>
      <rPr>
        <i/>
        <sz val="10"/>
        <rFont val="Arial Narrow"/>
        <family val="2"/>
      </rPr>
      <t>In calculations, is excluded automatically (cell goes blank) if little or no woody vegetation is present.</t>
    </r>
  </si>
  <si>
    <t>Wetlands that contain at least a little surface water support breeding amphibians, but even those that lack surface water throughout the year may still provide dispersal sites for adult frogs, toads, and salamanders.</t>
  </si>
  <si>
    <r>
      <t xml:space="preserve">Pools that remain isolated from other surface waters even during high water provide amphibians with the most protection from predatory fish. More amphibian species prefer ponded water than water flowing in channels. </t>
    </r>
    <r>
      <rPr>
        <i/>
        <sz val="10"/>
        <rFont val="Arial Narrow"/>
        <family val="2"/>
      </rPr>
      <t xml:space="preserve">In calculations, is excluded automatically (cell goes blank) if wetland never has surface water during an average year. </t>
    </r>
  </si>
  <si>
    <r>
      <t xml:space="preserve">Surface water that persists for all or nearly all of the year provides reproductive as well as feeding and overwintering habitat for most amphibian species (Baldwin et al. 2006a). However, risk of fish predation may be greater in some persistently inundated wetlands if they are fish-accessible. Ideally, a wetland should exist as part of a mosaic of wetlands with different water regimes (Gibbs 1993). </t>
    </r>
    <r>
      <rPr>
        <i/>
        <sz val="10"/>
        <rFont val="Arial Narrow"/>
        <family val="2"/>
      </rPr>
      <t xml:space="preserve">In calculations, is excluded automatically (cell goes blank) if wetland never has surface water during an average year. </t>
    </r>
  </si>
  <si>
    <r>
      <t xml:space="preserve">Egg masses of many frogs and aquatic salamanders are more susceptible to stranding in wetlands with large water level fluctuations. </t>
    </r>
    <r>
      <rPr>
        <i/>
        <sz val="10"/>
        <rFont val="Arial Narrow"/>
        <family val="2"/>
      </rPr>
      <t>In calculations, is excluded automatically (cell goes blank) if wetland never has surface water during an average year, or if none of it floods only seasonally.</t>
    </r>
  </si>
  <si>
    <r>
      <t xml:space="preserve">The eggs and larvae of many frogs and aquatic salamanders can easily be harmed by excessive ultraviolet radiation. Aquatic plants may provide some degree of shelter from such radiation, as well as providing attachment surfaces for eggs. However, one survey found that, among wetlands in this region, amphibian richness increased with increasing open water area (Stevens et al. 2002). </t>
    </r>
    <r>
      <rPr>
        <i/>
        <sz val="10"/>
        <rFont val="Arial Narrow"/>
        <family val="2"/>
      </rPr>
      <t xml:space="preserve">In calculations, is excluded automatically (cell goes blank) if wetland never has ponded surface water during an average year. </t>
    </r>
  </si>
  <si>
    <t>To meet all their life history requirements in this region, most amphibians require other wetlands and uplands in close proximity to, or interspersed within, suitable breeding wetlands (Baldwin et al. 2006b). Uplands that are dominated by natural vegetation, especially forest (Stevens et al. 2002), usually provide the most suitable microclimates and habitat structure. To help maintain biodiversity in central and eastern New Brunswick, vegetated buffers of &gt;30 m width should mostly surround wetlands (Betts et al  2005). Buffers narrower than 100 m will not protect most amphibian populations (Powell &amp; Babbitt 2015).</t>
  </si>
  <si>
    <r>
      <t xml:space="preserve">Fringe wetlands are often used by more wetland birds partly because the adjoining wide expanses of open water can provide refuge from disturbances as well as additional foods. </t>
    </r>
    <r>
      <rPr>
        <i/>
        <sz val="10"/>
        <rFont val="Arial Narrow"/>
        <family val="2"/>
      </rPr>
      <t xml:space="preserve">In calculations, presence increases the score but absence has no effect, and is excluded automatically (cell goes blank) if wetland never has surface water during an average year. </t>
    </r>
  </si>
  <si>
    <r>
      <t>Most wetland birds feed more in ponded areas than along channels. Especially at times of high water in channels, off-channel ponded areas provide refuge for many species.</t>
    </r>
    <r>
      <rPr>
        <i/>
        <sz val="10"/>
        <rFont val="Arial Narrow"/>
        <family val="2"/>
      </rPr>
      <t xml:space="preserve"> In calculations, is excluded automatically (cell goes blank) if wetland never has surface water during an average year. </t>
    </r>
  </si>
  <si>
    <r>
      <t xml:space="preserve">Surface water that persists for all or most of a year provides more feeding opportunities for wetland birds. If no surface water persists throughout a year, waterbird use of the wetland for feeding can still be substantial if the wetland borders a lake, large river, or estuary. Areas that are flooded only seasonally can be very productive when flooded. </t>
    </r>
    <r>
      <rPr>
        <i/>
        <sz val="10"/>
        <rFont val="Arial Narrow"/>
        <family val="2"/>
      </rPr>
      <t xml:space="preserve">In calculations, is excluded automatically (cell goes blank) if wetland never has surface water during an average year. </t>
    </r>
  </si>
  <si>
    <r>
      <t xml:space="preserve">Wetlands that flood only seasonally tend to be more productive and are immensely important as feeding and resting areas for migratory waterbirds. Occasional severe flood or drought can rejuvenate wetland productivity, and thus waterbird feeding opportunities, by stimulating release of nutrients from sediments or soil. </t>
    </r>
    <r>
      <rPr>
        <i/>
        <sz val="10"/>
        <rFont val="Arial Narrow"/>
        <family val="2"/>
      </rPr>
      <t xml:space="preserve">In calculations, is excluded automatically (cell goes blank) if wetland never has surface water during an average year. </t>
    </r>
  </si>
  <si>
    <r>
      <t xml:space="preserve">Interspersion of patches of open water amid patches of vegetation, in about equal proportions, provides waterbirds with the best access to aquatic foods (Longcore et al. 2006), and encourages establishment of breeding territories by more individual birds. Use of such wetlands has been shown to be significantly greater (Gibbs et al. 1991). </t>
    </r>
    <r>
      <rPr>
        <i/>
        <sz val="10"/>
        <rFont val="Arial Narrow"/>
        <family val="2"/>
      </rPr>
      <t>In calculations, is excluded automatically (cell goes blank) if wetland never has surface water during an average year, if no ponded water, if ponded water but no vegetation, if ponded but no open water.</t>
    </r>
  </si>
  <si>
    <r>
      <t xml:space="preserve">For most waterbirds, intermediate proportions of open ponded water and vegetation appear to provide the best protection from predators and the elements, as well as the richest feeding opportunities (Longcore et al. 2006). </t>
    </r>
    <r>
      <rPr>
        <i/>
        <sz val="10"/>
        <rFont val="Arial Narrow"/>
        <family val="2"/>
      </rPr>
      <t xml:space="preserve">In calculations, is excluded automatically (cell goes blank) if wetland never has ponded surface water during an average year. </t>
    </r>
  </si>
  <si>
    <r>
      <t xml:space="preserve">Aquatic plant cover and the abundant invertebrates it supports are favored by many waterbird species. Interspersion of patches of open water amid patches of vegetation, in about equal proportions, provides waterbirds with the best access to aquatic foods, and waterbird use of such wetlands is usually significantly greater (Longcore et al. 2006). </t>
    </r>
    <r>
      <rPr>
        <i/>
        <sz val="10"/>
        <rFont val="Arial Narrow"/>
        <family val="2"/>
      </rPr>
      <t>In calculations, is excluded automatically (cell goes blank) if wetland never has surface water during an average year, if no ponded water, if ponded water but no vegetation, if ponded but no open water.</t>
    </r>
  </si>
  <si>
    <r>
      <t xml:space="preserve">These plants usually indicate highly enriched conditions, and those tend to be more productive feeding areas for most waterbird species. </t>
    </r>
    <r>
      <rPr>
        <i/>
        <sz val="10"/>
        <rFont val="Arial Narrow"/>
        <family val="2"/>
      </rPr>
      <t>In calculations, is excluded automatically (cell goes blank) if wetland never has surface water during an average year. In calculations, is counted as a positive if present but does not decrease score if absent.</t>
    </r>
  </si>
  <si>
    <t xml:space="preserve">Many songbirds and mammals occur only in larger tracts of natural land cover. Fragmentation of wooded riparian areas by residential development or clearcuts can, over the long term, reduce the diversity of songbirds nesting in the remaining patches (e.g., Smith &amp; Wachob 2006). Breeding wetland birds sometimes do persist in small disturbed wetlands as long as much larger undisturbed wetlands nearby remain productive (e.g., Vermaat et al. 2008). Ideally, no clearing should result in a forest being fragmented into an isolate smaller than about 40 ha or narrower than 50 m, and definitely not smaller than about 1 ha or narrower than 30 m (Donnelly &amp; Marzluff 2004). In the Seattle metro area, Pacific (Winter) Wren occurred mostly in areas with less than 20% surrounding urban cover and forest patch size of more than about 1 ha (Donnelly 2004, Donnelly &amp; Marzluff 2006). Theoretical and limited empirical data suggest that 30% or more forest cover across a large area is the threshold value above which landscapes might provide sufficient habitat and connectivity for many forest species, allowing those species' populations to survive even in small remaining patches (Andren 1994). Minimum patch sizes required for breeding by the most sensitive forest songbirds (e.g., Brown Creeper) may be about 10 ha (Donnelly &amp; Marzluff 2004, Poulin et al. 2008). However, a study in British Columbia old growth forest found patch size had little to do with the abundance or diversity of birds in the forest (Schieck et al. 1995). </t>
  </si>
  <si>
    <t xml:space="preserve">The type as well as the amount of disturbed upland cover near the wetland is important to mammals and nesting songbirds. For most species, impervious surfaces are unusable. Habitat gaps caused by placement of roads, driveways, or homes – as well as by natural features such as wide tidal channels -- can impact movements of mammals and birds (Trombulak &amp; Frissell 2000, Ortega &amp; Capen 2002). This is especially true when the gaps are wider than about 30 m (Rich et al. 1994, Rail et al. 1997, St. Clair et al. 1998, Belisle &amp; Desrochers 2002, Tremblay &amp; St. Clair 2010), and definitely when wider than 60 m (Creegan &amp; Osborne 2005, Bosschieter &amp; Goedhart 2005, Awade &amp; Metzger 2008, Lees &amp; Peres 2009). Species that prefer low vegetation may be particularly reluctant to cross forest clearings. The presence of small clusters of trees scattered within very wide forest gaps may be sufficient to enhance willingness of some forest bird species to cross those gaps (Robertson &amp; Radford 2009). </t>
  </si>
  <si>
    <t>Roads that completely encircle a wetland limit the access to the wetland by upland mammals, and may isolate small mammal populations within the wetlands. To sustain most forest-dwelling bird species, linear clearings should cause no gap in the forest canopy wider than about 30 m (Belisle &amp; Desrochers 2002, Tremblay &amp; St. Clair 2010). Roads also tend to concentrate nest predators.</t>
  </si>
  <si>
    <t xml:space="preserve">High nest predation occurs on the edges of residential areas because jays and ravens are more abundant there. Nest predation can also be high in clearcut openings. Human settlements are accompanied by an increase in refuse, whether it be illegally dumped trash, recklessly contained household garbage, or well-intended compost piles. These serve as a food for ravens that prey extensively on native songbirds, frogs, and other wildlife (Chace &amp; Walsh 2006). Crow populations have been shown to increase up to at least 1 km from new urban areas (Oneal &amp; Rotenberry 2009). </t>
  </si>
  <si>
    <r>
      <t xml:space="preserve">Interspersion of woody cover with food-rich openings of herbaceous vegetation provides greater feeding opportunities for many songbirds and mammals, and is a natural phenomenon caused by windthrow and other factors in forested wetlands.  In British Columbia, activity levels of bats were more than 40 times greater in riparian than in upland areas, due to greater abundance of emerging aquatic insects, and were significantly greater where stand complexity and extent of forest edges was greater. Gaps of 3-10 trees in an otherwise forested matrix, that comprise about 30% of the matrix, resemble most closely the conditions in mature forest of Vancouver island, BC (Lertzman et al. 1964). Most canopy gaps occupy 50-200 m2 and a diameter-height ratio is typically &lt;0.50 (Ott &amp; Juday 2002). Excessive gap frequencies and areas (i.e., forest fragmentation) and lack of corridors that connect forested wetlands with upland forests can be detrimental to some species if the remaining forested patches are very small. </t>
    </r>
    <r>
      <rPr>
        <i/>
        <sz val="10"/>
        <rFont val="Arial Narrow"/>
        <family val="2"/>
      </rPr>
      <t xml:space="preserve">In calculations, is excluded automatically (cell goes blank) if wetland has little or no woody cover. </t>
    </r>
  </si>
  <si>
    <t>When wetland perimeter mostly adjoins upland rather than more wetland, this allows animals to move more conveniently between uplands and wetlands, benefitting from resources in each. In particular, small mammals avoid wetter (usually more central) parts of wetlands in favor of drier edges (Mazerolle et al. 2001).</t>
  </si>
  <si>
    <r>
      <t xml:space="preserve">Songbird richness within a site is strongly associated with a diversity of height classes, combined with a mix of conifer and deciduous trees/shrubs in each height class. Trees and shrubs support a wider diversity of songbirds, raptors, and mammals than does herbaceous vegetation, partly because they provide more vertical structure and produce downed wood and snags that have other habitat benefits. Trees help shelter the water in wetlands from high winds, facilitating the aerial foraging activities of birds and bats (Whitaker et al. 2000). </t>
    </r>
    <r>
      <rPr>
        <i/>
        <sz val="10"/>
        <rFont val="Arial Narrow"/>
        <family val="2"/>
      </rPr>
      <t>In calculations, the indicator score is based on number of height-form classes (of a possible 6).</t>
    </r>
  </si>
  <si>
    <r>
      <t xml:space="preserve">Tree cavities needed by many nesting songbirds and mammals are found mostly in dead standing trees (snags) and larger-diameter trees. Larger-diameter stands also tend to be older and provide more structure useful to a variety of songbirds and mammals. Taller snags are especially useful to raptors as hunting perches. A mixture of tree species, especially mixtures that include aspen, is necessary to sustain populations of most boreal woodpecker species (Drever &amp; Martin 2010). Deer need a diversity of forest types and ages (both early succession and old growth) near each other within their home ranges (Chang et al. 1995), as do moose (Snaith et al. 2002). </t>
    </r>
    <r>
      <rPr>
        <i/>
        <sz val="10"/>
        <rFont val="Arial Narrow"/>
        <family val="2"/>
      </rPr>
      <t>In calculations, is excluded automatically (cell goes blank) if wetland has few or no trees. The indicator score is based equally on the proportion of classes present and their weighted average.</t>
    </r>
    <r>
      <rPr>
        <sz val="10"/>
        <rFont val="Arial Narrow"/>
        <family val="2"/>
      </rPr>
      <t xml:space="preserve">
</t>
    </r>
  </si>
  <si>
    <r>
      <t xml:space="preserve">Wider vegetated zones within wetlands provide more nesting space and structure for songbirds and mammals. Wider riparian buffers in British Columbia supported a greater density of deciduous trees important to wildlife diversity in that region (Shirley 2004). Also in British Columbia, even buffers of 150 m failed to support several species at densities equivalent to those in extensive uncut forests: Brown Creeper, Pileated Woodpecker, Golden-crowned Kinglet. However, at least 2 species -- Warbling Vireo and Swainson’s Thrush – were more common in buffers than in uncut forest (Shirley &amp; Smith 2005). The diversity of microhabitats within bogs and fens generally increases with increasing area, and vertebrate richness consequently increases (Desrochers &amp; van Duinen 2006). </t>
    </r>
    <r>
      <rPr>
        <i/>
        <sz val="10"/>
        <rFont val="Arial Narrow"/>
        <family val="2"/>
      </rPr>
      <t>In calculations, is excluded automatically (cell goes blank) if wetland never has surface water during an average year, or has no open water.</t>
    </r>
  </si>
  <si>
    <t>Wetlands that are closer to natural land cover and not separated by roads that interfere with movements across the landscape, are more likely to support a large diversity of songbird and mammal species. Forest gaps deter red squirrel movement (Bakker &amp; Van Vuren 2004) and hinder movements of many birds. Nests in wetland forest edges, where both jays and squirrels occur frequently, are depredated more often than those in wetland openings or forest interior, where predators were less common (Desanto &amp; Wilson 2001). The probability that a forest-dwelling bird will fly in the open between two patches of forest decreases rapidly as the distance separating those patches increases (Desrochers &amp; Hannon 1997, St. Clair et al. 1998). Forest bird species usually prefer to detour under forest cover even if the forested route is longer, but if the detour is too long, they will prefer a shortcut across openland. However, when possible most forest bird species avoid venturing farther than about 30 m from a forest edge (St. Clair et al. 1998)</t>
  </si>
  <si>
    <t>_GDD1</t>
  </si>
  <si>
    <t>Ponding2</t>
  </si>
  <si>
    <t>WoodyTyp4</t>
  </si>
  <si>
    <t>Inflow4a</t>
  </si>
  <si>
    <t>Gradient5</t>
  </si>
  <si>
    <t>PopCtr9</t>
  </si>
  <si>
    <t>DistRd9</t>
  </si>
  <si>
    <t>ToxinIn9</t>
  </si>
  <si>
    <t>Fishing10</t>
  </si>
  <si>
    <t>AltTime8a</t>
  </si>
  <si>
    <t>SedCA8a</t>
  </si>
  <si>
    <t>SoilDisturb8a</t>
  </si>
  <si>
    <t>Acidic11</t>
  </si>
  <si>
    <t>Lake12a</t>
  </si>
  <si>
    <t>HerbUniq12</t>
  </si>
  <si>
    <t>Lacus13a</t>
  </si>
  <si>
    <t>HerbUniq13</t>
  </si>
  <si>
    <t>DeerHab14</t>
  </si>
  <si>
    <t>AVERAGE (Gcover, Girreg, Cliffs, SnagsD, WoodDown, DeerHab)</t>
  </si>
  <si>
    <t>WoodyHtDiv14</t>
  </si>
  <si>
    <t>VegPct5k15</t>
  </si>
  <si>
    <t>InflowPD</t>
  </si>
  <si>
    <t>AVERAGE[Invas, AVERAGE(DecidCov, WoodyHtDiv, WoodHerbMix, HerbDom, Burn, Girreg)]</t>
  </si>
  <si>
    <t>OverRich</t>
  </si>
  <si>
    <t>AcidicS</t>
  </si>
  <si>
    <t>ConductivS</t>
  </si>
  <si>
    <t>BurnHist</t>
  </si>
  <si>
    <t>The proportion of the AA's contributing area (measured to no more than 1000 m upslope) that is comprised of buildings, roads, parking lots, other pavement, exposed bedrock, landslides, and other mostly-bare surface is about :</t>
  </si>
  <si>
    <t>Function Score (raw)</t>
  </si>
  <si>
    <t>Subtypes8</t>
  </si>
  <si>
    <t>WetTypeDiv11</t>
  </si>
  <si>
    <t>WetTypeDiv12</t>
  </si>
  <si>
    <t xml:space="preserve">To help maintain biodiversity in central and eastern New Brunswick, vegetated buffers of &gt;30 m width should mostly surround wetlands (Betts &amp; Forbes 2005). However, riparian buffer strips 50 m wide were insufficient to maintain nesting forest interior songbird species in Newfoundland (Whitaker &amp; Montevecchi 1999). </t>
  </si>
  <si>
    <t>WetTypeDiv14</t>
  </si>
  <si>
    <r>
      <t xml:space="preserve">Deciduous cover allows more light to penetrate to the ground than does evergreen cover. In many instances this results in greater richness of understory plant species. </t>
    </r>
    <r>
      <rPr>
        <i/>
        <sz val="10"/>
        <rFont val="Arial Narrow"/>
        <family val="2"/>
      </rPr>
      <t>In calculations, is excluded automatically (cell goes blank) if few or no trees are present. Score is based on maximum deciduous cover in either the shrub (1-3 m) or tree (&gt;3 m) categories.</t>
    </r>
  </si>
  <si>
    <t xml:space="preserve">Invasion by non-native species often reduces native plant species richness (Zedler &amp; Kercher 2004, Schooler et al. 2006) but not always (Houlahan &amp; Findlay 2004). In some regions, a change of only 10 cm in mean water level or a change of only 2 cm in the degree of fluctuation may cause a shift from native to non-native species (Magee &amp; Kentula 2005). </t>
  </si>
  <si>
    <t>HYDROLOGIC Group (WS)</t>
  </si>
  <si>
    <t>AQUATIC HABITAT Group (max+avg/2 of FA, FR, AM, WBF, WBN)</t>
  </si>
  <si>
    <t>AQUATIC SUPPORT Group (max+avg/2 of SFS, INV, OE, WC)</t>
  </si>
  <si>
    <t>Wetland Ecological Condition (EC)</t>
  </si>
  <si>
    <t>Wetland ID:</t>
  </si>
  <si>
    <t>Date:</t>
  </si>
  <si>
    <t>Observer:</t>
  </si>
  <si>
    <t>Latitude &amp; Longitude (decimal degrees):</t>
  </si>
  <si>
    <r>
      <t>Hunt, J. F., C. W. Honeycutt, G. Starr, and D. Yarborough. 2009. Influence of coastal proximity on evapotranspiration rates and crop coefficients of Maine lowbush blueberry (</t>
    </r>
    <r>
      <rPr>
        <i/>
        <sz val="10"/>
        <rFont val="Arial Narrow"/>
        <family val="2"/>
      </rPr>
      <t>Vaccinium angustifolium</t>
    </r>
    <r>
      <rPr>
        <sz val="10"/>
        <rFont val="Arial Narrow"/>
        <family val="2"/>
      </rPr>
      <t>). International Journal of Fruit Science 9:323-343.</t>
    </r>
  </si>
  <si>
    <t>Booth, D. B. and C. R. Jackson. 1997. Urbanization of aquatic systems: Degradation thresholds, stormwater detection, and the limits of mitigation. Journal of the American Water Resources Association 33:1077-1090.</t>
  </si>
  <si>
    <t>Peat soils retain water for longer periods than coarse mineral soils, and the deeper the better. Subsurface ice which helps sustain streamflow also may remain longer into the late spring in peatlands due to the insulating effects of peat. Runoff ratio (the percent of precipitation that contributes to streamflow immediately after storms) is lowest for open peatland areas with thick organic horizons (0.02-0.05) due to low topographic gradients and many surface depressions capable of retaining surface water (Wiley &amp; Curran 2003). Runoff ratio is greatest (surface water retention is least) in areas with more permeable soils, at least where those areas aren't sloping. That is due partly to higher likelihood of groundwater reaching the land surface via seeps (Emili &amp; Price 2006)</t>
  </si>
  <si>
    <t>Wiley, J.B., and J.H. Curran. 2003. Estimating annual high-flow statistics and monthly and seasonal low-flow statistics for ungaged sites on streams in Alaska and conterminous basins in Canada: U.S. Geological Survey Water-Resources Investigations Report 03-4114.</t>
  </si>
  <si>
    <r>
      <t xml:space="preserve">Acidic conditions (indicated by staining) potentially support greater adsorption of P by iron and aluminum (Richardson et al. 1996, Sutmm &amp; Morgan 1996) and that is often associated with the dissolved organics that cause staining (Gorham et al. 1998). Acidic conditions also slow the decomposition of plant material, thus increasing P storage in peat.  P retention can also occur at high pH as a result of precipitation with calcium. </t>
    </r>
    <r>
      <rPr>
        <i/>
        <sz val="10"/>
        <rFont val="Arial Narrow"/>
        <family val="2"/>
      </rPr>
      <t>In calculations, is excluded automatically (cell goes blank) if wetland never has surface water during an average year.  Otherwise, retention is assumed to increase below a pH of 5 or above a pH of 9.</t>
    </r>
  </si>
  <si>
    <t>Brix, H. 1994. Functions of macrophytes in constructed wetlands. Water Science and Technology 29:71-78.</t>
  </si>
  <si>
    <t>Cairns, M. A. and K. Lajtha. 2005. Effects of succession on nitrogen export in the west-central Cascades, Oregon. Ecosystems 8:583-601.</t>
  </si>
  <si>
    <t>Compton, J. E., M. R. Church, S. T. Larned, and W. E. Hogsett. 2003. Nitrogen export from forested watersheds in the Oregon Coast Range: the role of N2-fixing red alder. Ecosystems 6:773-785.</t>
  </si>
  <si>
    <t>Greathouse, E. A., J. E. Compton, and J. Van Sickle. 2014. Linking landscape characteristics and high stream nitrogen in the Oregon Coast Range: red alder complicates use of nutrient criteria. JAWRA Journal of the American Water Resources Association 50:1383-1400.</t>
  </si>
  <si>
    <t>Lin, Y.-F., S.-R. Jing, T.-W. Wang, and D.-Y. Lee. 2002. Effects of macrophytes and external carbon sources on nitrate removal from groundwater in constructed wetlands. Environmental Pollution 119:413-420.</t>
  </si>
  <si>
    <t>Mayer, P. M., S. K. Reynolds, M. D. McCutchen, and T. J. Canfield. 2005. Riparian Buffer Width, Vegetative Cover, and Nitrogen Removal Effectiveness: A Review of Current Science and Regulations. EPA/600/R-05/118. U.S. Environmental Protection Agency, Cincinnati, OH.</t>
  </si>
  <si>
    <t>Morse, J. L., M. Ardón, and E. S. Bernhardt. 2012. Using environmental variables and soil processes to forecast denitrification potential and nitrous oxide fluxes in coastal plain wetlands across different land uses. Journal of Geophysical Research: Biogeosciences (2005–2012) 117.</t>
  </si>
  <si>
    <t>Shaftel, R. S., R. S. King, and J. A. Back. 2012. Alder cover drives nitrogen availability in Kenai lowland headwater streams, Alaska. Biogeochemistry 107:135-148.</t>
  </si>
  <si>
    <t>Šimek, M. and J. E. Cooper. 2002. The influence of soil pH on denitrification: progress towards the understanding of this interaction over the last 50 years. European Journal of Soil Science 53:345-354.</t>
  </si>
  <si>
    <r>
      <t xml:space="preserve">Among wetland plants, those best known for facilitating the emission of methane from sediments are sedge and cottongrass (Marinier et al. 2004, Strack et al. 2006, Green &amp; Baird 2012). However, one study found methane production from cattail litter was almost 3 times greater than from sedge litter (Williams &amp; Yavitt 2010), and alder also has been found to facilitate methane emissions from wetlands (Smialek et al. 2006, Gauci et al. 2010). </t>
    </r>
    <r>
      <rPr>
        <i/>
        <sz val="10"/>
        <rFont val="Arial Narrow"/>
        <family val="2"/>
      </rPr>
      <t>In calculations, is excluded automatically (cell goes blank) if no exposed herbaceous cover, or if cover is entirely forbs.</t>
    </r>
  </si>
  <si>
    <t>Benscoter, B., M. R. Turetsky, and J. Johnson. 2012. Regulation of Soil Carbon Storage by Wildfire in Boreal and Subtropical Peatlands. Page 0520  in AGU Fall Meeting Abstracts, Vol. 1.</t>
  </si>
  <si>
    <t>Kuhry, P. 1994. The role of fire in the development of sphagnum-dominated peatlands in western boreal Canada. Journal of Ecology 82:899-910.</t>
  </si>
  <si>
    <t>Watts, A. C., C. A. Schmidt, D. L. McLaughlin, and D. A. Kaplan. 2015. Hydrologic implications of smoldering fires in wetland landscapes. Freshwater Science 34:000-000.</t>
  </si>
  <si>
    <t xml:space="preserve">Tillage, regrading, or other soil disturbances can accelerate the decay of soil organic matter rather than supporting sequestration (Waddington &amp; Turetsky 2008). Farming of drained hydric soils is a particular concern, because such soils typically have substantial organic matter that converts to greenhouse gases when tilled and planted annually. However, tillage of compacted soils can reduce methane emissions (Willey &amp; Chameides 2007). Despite associated soil disturbance, selective logging in forested wetlands in some cases may increase carbon sequestration, at least temporarily, if the tree stands and other components of the forest ecosystem become more productive after thinning (Li et al. 2004, D' Amore et al. 2015). </t>
  </si>
  <si>
    <t>More extensive ground cover may imply more organic matter is available for export. However, excessive litter buildup implies a lack of significant exporting forces, e.g., currents.</t>
  </si>
  <si>
    <r>
      <t xml:space="preserve">Boreal streams are an important transporter of protein-rich, labile DOM (Urban et al. 1989, Gergel et al. 1999, Xenopoulos et al.2003, Fellman et al. 2009). Thus, annual export of accumulated organic matter to downstream water can be greater in wetlands with outlets, especially those with persistent outflow. Nonetheless, even wetlands that lack outlets may export variable amounts of dissolved carbon via subsurface infiltration and "pipes" created by decayed subsurface peat and tree roots which cannot be evaluated in a rapid assessment. </t>
    </r>
    <r>
      <rPr>
        <i/>
        <sz val="10"/>
        <rFont val="Arial Narrow"/>
        <family val="2"/>
      </rPr>
      <t>In calculations, is excluded automatically (cell goes blank) if wetland never has surface water during an average year.</t>
    </r>
  </si>
  <si>
    <r>
      <t>Narrow outlets limit water outflow from a wetland and its downstream or downslope movement, thus limiting export of organic matter. The types of outlets described here are ones that typically are more constricted than natural channels, which usually have adjusted over time to local runoff and thus are wider relative to volume of flow received.</t>
    </r>
    <r>
      <rPr>
        <i/>
        <sz val="10"/>
        <rFont val="Arial Narrow"/>
        <family val="2"/>
      </rPr>
      <t xml:space="preserve"> In calculations, is excluded automatically (cell goes blank) if no outlet.</t>
    </r>
  </si>
  <si>
    <r>
      <t xml:space="preserve">Increased channel complexity implies greater interspersion of open water and vegetation, which provides more opportunity for organic matter to be in contact with moving water and thus be exported. </t>
    </r>
    <r>
      <rPr>
        <i/>
        <sz val="10"/>
        <rFont val="Arial Narrow"/>
        <family val="2"/>
      </rPr>
      <t>In calculations, is excluded automatically (cell goes blank) if wetland never has surface water during an average year or if no surface inflows.</t>
    </r>
  </si>
  <si>
    <r>
      <t>Groundwater-fed wetlands remain ice-free for longer, thus lengthening the growing season and plant production, and increasing the potential for organic matter to be exported if the wetland is connected to other water bodies. However, groundwater generally contains less dissolved organic carbon than does surface runoff (Emi-Fergus et al. 2011).</t>
    </r>
    <r>
      <rPr>
        <i/>
        <sz val="10"/>
        <rFont val="Arial Narrow"/>
        <family val="2"/>
      </rPr>
      <t xml:space="preserve"> In calculations, is excluded automatically (cell goes blank) if no evidence of groundwater influx; otherwise is rated based on response in column D.</t>
    </r>
  </si>
  <si>
    <t>Drinan, T. J., C. T. Graham, J. O’Halloran, and S. S. C. Harrison. 2013. The impact of catchment conifer plantation forestry on the hydrochemistry of peatland lakes. Science of the Total Environment 443:608-620.</t>
  </si>
  <si>
    <t>Kemp, P., D. Sear, A. Collins, P. Naden, and I. Jones. 2011. The impacts of fine sediment on riverine fish. Hydrological Processes 25:1800-1821.</t>
  </si>
  <si>
    <t>Kreutzweiser, D. P., P. W. Hazlett, and J. M. Gunn. 2008. Logging impacts on the biogeochemistry of boreal forest soils and nutrient export to aquatic systems: a review. Environmental Reviews 16:157-179.</t>
  </si>
  <si>
    <t>Malcolm, I. A., C. N. Gibbins, R. J. Fryer, J. Keay, D. Tetzlaff, and C. Soulsby. 2014. The influence of forestry on acidification and recovery: insights from long-term hydrochemical and invertebrate data. Ecological Indicators 37:317-329.</t>
  </si>
  <si>
    <t>McCormick, S. D., D. T. Lerner, A. M. Regish, M. F. O'Dea, and M. Y. Monette. 2012. Thresholds for short-term acid and aluminum impacts on Atlantic salmon smolts. Aquaculture 362:224-231.</t>
  </si>
  <si>
    <t>Sear, D. A., L. B. Frostick, G. Rollinson, and T. E. Lisle. 2008. The significance and mechanics of fine-sediment infiltration and accumulation in gravel spawning beds. Pages 149-174 in D. A. Sear and P. DeVries, editors. Salmonid Spawning Habitat in Rivers; Physical Controls, Biological Responses and Approaches to Remediation. American Fisheries Society, Bethesda, MD.</t>
  </si>
  <si>
    <r>
      <t>Rosseland, B. O., F. Kroglund, M. Staurnes, K. Hindar, and A. Kvellestad. 2001. Tolerance to acid water among strains and life stages of Atlantic salmon (</t>
    </r>
    <r>
      <rPr>
        <i/>
        <sz val="10"/>
        <rFont val="Arial Narrow"/>
        <family val="2"/>
      </rPr>
      <t>Salmo salar</t>
    </r>
    <r>
      <rPr>
        <sz val="10"/>
        <rFont val="Arial Narrow"/>
        <family val="2"/>
      </rPr>
      <t>). Water, Air, and Soil Pollution 130:899-904.</t>
    </r>
  </si>
  <si>
    <t>Morley, T. R., A. S. Reeve, and A. J. K. Calhoun. 2011. The role of headwater wetlands in altering streamflow and chemistry in a Maine, USA catchment. Journal of American Water Resources Association  47:337-349.</t>
  </si>
  <si>
    <t>Kimmel, W. G. and D. G. Argent. 2010. Stream fish community responses to a gradient of specific conductance. Water, Air, and Soil Pollution 206:49-56.</t>
  </si>
  <si>
    <t>Rempel, R. S. and P. J. Colby. 1991. A statistically valid model of the morphoedaphic index. Canadian Journal of Fisheries and Aquatic Sciences 48:1937-1943.</t>
  </si>
  <si>
    <t>Sutela, T., T. Vehanen, and P. Jounela. 2010. Response of fish assemblages to water quality in boreal rivers. Hydrobiologia 641:1-10.</t>
  </si>
  <si>
    <t>Weber-Scannell, P. K. and L. K. Duffy. 2007. Effects of total dissolved solids on aquatic organism: a review of literature and recommendation for salmonid species. American Journal of Environmental Sciences 3:1-6.</t>
  </si>
  <si>
    <t>Life histories of most invertebrates are closely linked to specific thermal and light (seasonality) conditions as those interact with specific hydrologic patterns. Abnormal patterns of inundation to which invertebrate communities are not adapted may reduce populations of many intolerant invertebrate species and in some cases diminish local biodiversity (Bunn &amp; Arthington 2002).</t>
  </si>
  <si>
    <t>Van Sickle, J. and S. V. Gregory. 1990. Modeling inputs of large woody debris to streams from falling trees. Canadian Journal of Forest Research 20:1593-1601.</t>
  </si>
  <si>
    <t>Horwitz, R. J., T. E. Johnson, P. F. Overbeck, T. K. O'Donnell, W. C. Hession, and B. W. Sweeney. 2008. Effects of riparian vegetation and watershed urbanization on fishes in streams of the mid-Atlantic Piedmont (USA). Journal of the American Water Resources Association 44:724-741.</t>
  </si>
  <si>
    <t>Findlay, C. S. and J. Houlahan. 1997. Anthropogenic correlates of species richness in southeastern Ontario wetlands. Conservation Biology:1000-1009.</t>
  </si>
  <si>
    <t>Gibbs, J. P. 1993. Importance of small wetlands for the persistence of local populations of wetland-associated animals. Wetlands 13:25-31.</t>
  </si>
  <si>
    <t>Houlahan, J. E. and C. S. Findlay. 2003. The effects of adjacent land use on wetland amphibian species richness and community composition. Canadian Journal of Fisheries and Aquatic Sciences 60:1078-1094.</t>
  </si>
  <si>
    <t>Mazerolle, M. J., A. Desrochers, and L. Rochefort. 2005a. Landscape characteristics influence pond occupancy by frogs after accounting for detectability. Ecological Applications 15:824-834.</t>
  </si>
  <si>
    <t>Mazerolle, M. J., M. Huot, and M. Gravel. 2005b. Behavior of amphibians on the road in response to car traffic. Herpetologica 61:380-388.</t>
  </si>
  <si>
    <t>Powell, J. S. V. and K. J. Babbitt. 2015. An experimental test of buffer utility as a technique for managing pool-breeding amphibians. Plos One 10:e0133642.</t>
  </si>
  <si>
    <t>Quesnelle, P. E., K. E. Lindsay, and L. Fahrig. 2015. Relative effects of landscape-scale wetland amount and landscape matrix quality on wetland vertebrates: a meta-analysis. Ecological Applications 25:812-825.</t>
  </si>
  <si>
    <r>
      <t>Baldwin, R., A. J. K. Calhoun, and P. G. deMaynadier. 2006b. Conservation planning for amphibian species with complex habitat requirements: A case study using movements and habitat selection of the wood frog (</t>
    </r>
    <r>
      <rPr>
        <i/>
        <sz val="10"/>
        <rFont val="Arial Narrow"/>
        <family val="2"/>
      </rPr>
      <t>Rana sylvatica</t>
    </r>
    <r>
      <rPr>
        <sz val="10"/>
        <rFont val="Arial Narrow"/>
        <family val="2"/>
      </rPr>
      <t>). Journal of Herpetology 40:443-454.</t>
    </r>
  </si>
  <si>
    <t>Larger contiguous tracts of nearby natural land, especially natural forest land, are more likely than small or fragmented patches to meet the habitat needs of dispersing and summering amphibians (Cushman 2006). Some New Brunswick data indicate tree plantations may be less suitable than natural forest for amphibians (Waldick et al. 1999), and clearcuts in Maine were found to be unsuitable even when logs and other coarse material was retained (Popescu et al. 2012).</t>
  </si>
  <si>
    <t>Longcore, J. R., D. G. McAuley, G. W. Pendleton, C. R. Bennatti, T. M. Mingo, and K. L. Stromborg. 2006. Macroinvertebrate abundance, water chemistry, and wetland characteristics affect use of wetlands by avian species in Maine. Hydrobiologia 567:143–167.</t>
  </si>
  <si>
    <t>Although scattered open spots provide feeding opportunities for some species, most ground-nesting songbirds and mammals prefer dense ground cover as concealment from predators. Thinning of ground cover by high densities of deer can impact songbirds (Thiemann et al. 2009, Martin et al. 2010).</t>
  </si>
  <si>
    <t>The widest variety and/or greatest abundance of pollinators is likeliest to occur in areas surrounded by a large proportion of unmanaged vegetation (Savage et al. 2011, Kennedy et al. 2013, Moisan-Deserres et al. 2014b, Cutler et al. 2015).</t>
  </si>
  <si>
    <t>Many pollinators are highly sensitive to some of the pesticides used in this region (e.g., Kevan 1975, Plowright &amp; Rodd 1980, Brittain et al. 2010, Gradish et al. 2012).</t>
  </si>
  <si>
    <t>Brittain, C., R. Bommarco, M. Vighi, S. Barmaz, J. Settele, and S. G. Potts. 2010. The impact of an insecticide on insect flower visitation and pollination in an agricultural landscape. Agricultural and Forest Entomology 12:259-266.</t>
  </si>
  <si>
    <t>Cutler, G. C., V. O. Nams, P. Craig, J. M. Sproule, and C. S. Sheffield. 2015. Wild bee pollinator communities of lowbush blueberry fields: Spatial and temporal trends. Basic and Applied Ecology 16:73-85.</t>
  </si>
  <si>
    <t>Garibaldi, L. A., I. Steffan-Dewenter, C. Kremen, J. M. Morales, R. Bommarco, S. A. Cunningham, L. G. Carvalheiro, N. P. Chacoff, J. H. Dudenhoffer, S. S. Greenleaf, A. Holzschuh, R. Isaacs, K. Krewenka, Y. Mandelik, M. M. Mayfield, L. A. Morandin, S. G. Potts, T. H. Ricketts, H. Szentgyorgyi, B. F. Viana, C. Westphal, R. Winfree, and A. M. Klein. 2011. Stability of pollination services decreases with isolation from natural areas despite honey bee visits. Ecology Letters 14:1062-1072.</t>
  </si>
  <si>
    <t>Gradish, A. E., C. D. Scott-Dupree, A. J. Frewin, and G. C. Cutler. 2012. Lethal and sublethal effects of some insecticides recommended for wild blueberry on the pollinator Bombus impatiens. Canadian Entomologist 144:478-486.</t>
  </si>
  <si>
    <t>Jones, K. N. and S. M. Klemetti. 2012. Managing marginal populations of the rare wetland plant Trollius laxus Salisbury (spreading globeflower): consideration of light levels, herbivory, and pollination. Northeastern Naturalist 19:267-278.</t>
  </si>
  <si>
    <t>Kennedy, C. M., E. Lonsdorf, M. C. Neel, N. M. Williams, T. H. Ricketts, R. Winfree, R. Bommarco, C. Brittain, A. L. Burley, and D. Cariveau. 2013. A global quantitative synthesis of local and landscape effects on wild bee pollinators in agroecosystems. Ecology Letters 16:584-599.</t>
  </si>
  <si>
    <t>Moisan-DeSerres, J., M. Chagnon, and V. Fournier. 2014. Influence of windbreaks and forest borders on abundance and species richness of native pollinators in lowbush blueberry fields in Québec, Canada. The Canadian Entomologist:1-11.</t>
  </si>
  <si>
    <t>Plowright, R. C. and F. H. Rodd. 1980. The effect of aerial insecticide spraying on hymenopterous pollinators in New Brunswick. The Canadian Entomologist 112:259-269.</t>
  </si>
  <si>
    <t>Ricketts, T. H., J. Regetz, I. Steffan-Dewenter, S. A. Cunningham, C. Kremen, A. Bogdanski, B. Gemmill-Herren, S. S. Greenleaf, A. M. Klein, and M. M. Mayfield. 2008. Landscape effects on crop pollination services: are there general patterns? Ecology Letters 11:499-515.</t>
  </si>
  <si>
    <t>Thijs, K. W., R. Brys, H. A. F. Verboven, and M. Hermy. 2012. The influence of an invasive plant species on the pollination success and reproductive output of three riparian plant species. Biological Invasions 14:355-365.</t>
  </si>
  <si>
    <t>Westphal, C., I. Steffan-Dewenter, and T. Tscharntke. 2006. Foraging trip duration of bumblebees in relation to landscape‐wide resource availability. Ecological Entomology 31:389-394.</t>
  </si>
  <si>
    <r>
      <t>Kevan, P. G. 1975. Forest application of the insecticide Fenitrothion and its effect on wild bee pollinators (Hymenoptera: Apoidea) of lowbush blueberries (</t>
    </r>
    <r>
      <rPr>
        <i/>
        <sz val="10"/>
        <rFont val="Arial Narrow"/>
        <family val="2"/>
      </rPr>
      <t>Vaccinium</t>
    </r>
    <r>
      <rPr>
        <sz val="10"/>
        <rFont val="Arial Narrow"/>
        <family val="2"/>
      </rPr>
      <t xml:space="preserve"> spp.) in Southern New Brunswick, Canada. Biological Conservation 7:301-309.</t>
    </r>
  </si>
  <si>
    <t>Brandt, E. C., J. E. Petersen, J. J. Grossman, G. A. Allen, and D. H. Benzing. 2015. Relationships between spatial metrics and plant diversity in constructed freshwater wetlands. Plos One 10:e0135917.</t>
  </si>
  <si>
    <t>Catford, J. A., B. J. Downes, C. J. Gippel, and P. A. Vesk. 2011. Flow regulation reduces native plant cover and facilitates exotic invasion in riparian wetlands. Journal of Applied Ecology 48:432-442.</t>
  </si>
  <si>
    <t>de Szalay, F. A. and V. H. Resh. 1997. Responses of wetland invertebrates and plants important in waterfowl diets to burning and mowing of emergent vegetation. Wetlands 17:149-156.</t>
  </si>
  <si>
    <t>Houlahan, J. E. and C. S. Findlay. 2004. Effect of invasive plant species on temperate wetland plant diversity. Conservation Biology 18:1132-1138.</t>
  </si>
  <si>
    <t>Johnson, A. M. and D. J. Leopold. 1994. Vascular plant species richness and rarity across a minerotrophic gradient in wetlands of St. Lawrence County, New York, USA. Biodiversity &amp; Conservation 3:606-627.</t>
  </si>
  <si>
    <t>Matthews, J. W. 2004. Effects of site and species characteristics on nested patterns of species composition in sedge meadows. Plant Ecology 174:271-278.</t>
  </si>
  <si>
    <t>Peintinger, M., A. Bergamini, and B. Schmid. 2003. Species-area relationships and nestedness of four taxonomic groups in fragmented wetlands. Basic and Applied Ecology 4:385-394.</t>
  </si>
  <si>
    <t>Schooler, S. S., P. B. McEvoy, and E. M. Coombs. 2006. Negative per capita effects of purple loosestrife and reed canary grass on plant diversity of wetland communities. Diversity and Distributions 12:351-363.</t>
  </si>
  <si>
    <t>Weiher, E. and C. W. Boylen. 1994. Patterns and prediction of alpha-diversity and beta-diversity of aquatic plants in Adirondack (New York) Lakes. Canadian Journal of Botany 72:1797-1804.</t>
  </si>
  <si>
    <t>Woodcock, T., J. Longcore, D. McAuley, T. Mingo, C. R. Bennatti, and K. Stromborg. 2005. The role of pH in structuring communities of Maine wetland macrophytes and chironomid larvae (Diptera). Wetlands 25:306-316.</t>
  </si>
  <si>
    <t>Zedler, J. B. and S. Kercher. 2004. Causes and consequences of invasive plants in wetlands: opportunities, opportunists, and outcomes. Critical Reviews in Plant Sciences 23:431-452.</t>
  </si>
  <si>
    <t>Baldwin, L. K. and G. E. Bradfield. 2005. Bryophyte community differences between edge and interior environments in temperate rain-forest fragments of coastal British Columbia. Canadian Journal of Forest Research 35:580-592.</t>
  </si>
  <si>
    <t xml:space="preserve">Carbon from marshes and fens is often more biodegradable (and thus more exportable and valuable to food chains over a wider area) than bog and forested wetland carbon (D’Amore et al. 2010). The same may be true of riparian shrub/forest wetlands, and their connectivity to other water bodies is usually greater, potentially leading to greater export (Dalva &amp; Moore 1991). Bogs usually have the largest amounts of carbon in storage (as peat), and some bogs fix carbon more readily than more fertile wetlands (fens) (Moore 1989, Glenn et al. 2006), but connectivity to other water bodies is generally less than other wetland types, with carbon being exported mainly in dissolved form via groundwater. </t>
  </si>
  <si>
    <r>
      <t>Gallant, D., C. H. Berube, E. Tremblay, and L. Vasseur. 2004. An extensive study of the foraging ecology of beavers (</t>
    </r>
    <r>
      <rPr>
        <i/>
        <sz val="10"/>
        <rFont val="Arial Narrow"/>
        <family val="2"/>
        <scheme val="minor"/>
      </rPr>
      <t>Castor canadensis</t>
    </r>
    <r>
      <rPr>
        <sz val="10"/>
        <rFont val="Arial Narrow"/>
        <family val="2"/>
        <scheme val="minor"/>
      </rPr>
      <t>) in relation to habitat quality. Canadian Journal of Zoology 82:922-933.</t>
    </r>
  </si>
  <si>
    <t>Even if vegetation is not removed, compaction of winter snow cover can damage vegetation (Keddy et al. 1979), and compaction of soil can inhibit plant growth by decreasing soil oxygen and altering drainage patterns. Soil disturbance also facilitates invasion by exotic species, and sedimentation limits the germination and growth of wetland plants (Wardrop &amp; Brooks 1998, Mahaney et al. 2005).</t>
  </si>
  <si>
    <r>
      <t xml:space="preserve">Mark </t>
    </r>
    <r>
      <rPr>
        <b/>
        <sz val="10"/>
        <rFont val="Arial Narrow"/>
        <family val="2"/>
      </rPr>
      <t>ALL</t>
    </r>
    <r>
      <rPr>
        <sz val="10"/>
        <rFont val="Arial Narrow"/>
        <family val="2"/>
      </rPr>
      <t xml:space="preserve"> the types that comprise </t>
    </r>
    <r>
      <rPr>
        <b/>
        <sz val="10"/>
        <rFont val="Arial Narrow"/>
        <family val="2"/>
      </rPr>
      <t>&gt;5% of the woody canopy</t>
    </r>
    <r>
      <rPr>
        <sz val="10"/>
        <rFont val="Arial Narrow"/>
        <family val="2"/>
      </rPr>
      <t xml:space="preserve"> cover </t>
    </r>
    <r>
      <rPr>
        <b/>
        <sz val="10"/>
        <rFont val="Arial Narrow"/>
        <family val="2"/>
      </rPr>
      <t xml:space="preserve">in the AA </t>
    </r>
    <r>
      <rPr>
        <sz val="10"/>
        <rFont val="Arial Narrow"/>
        <family val="2"/>
      </rPr>
      <t xml:space="preserve">or &gt;5% of the </t>
    </r>
    <r>
      <rPr>
        <b/>
        <sz val="10"/>
        <rFont val="Arial Narrow"/>
        <family val="2"/>
      </rPr>
      <t xml:space="preserve">wooded areas </t>
    </r>
    <r>
      <rPr>
        <sz val="10"/>
        <rFont val="Arial Narrow"/>
        <family val="2"/>
      </rPr>
      <t>(if any) along its</t>
    </r>
    <r>
      <rPr>
        <b/>
        <sz val="10"/>
        <rFont val="Arial Narrow"/>
        <family val="2"/>
      </rPr>
      <t xml:space="preserve"> upland edge (perimeter). </t>
    </r>
    <r>
      <rPr>
        <sz val="10"/>
        <rFont val="Arial Narrow"/>
        <family val="2"/>
      </rPr>
      <t xml:space="preserve"> The edge should include only the trees whose canopies extend into the AA.</t>
    </r>
  </si>
  <si>
    <r>
      <t xml:space="preserve">&lt;5% of the vegetated part of the AA or &lt;0.01 hectare (whichever is less). Mark "1" here and </t>
    </r>
    <r>
      <rPr>
        <b/>
        <sz val="10"/>
        <rFont val="Arial Narrow"/>
        <family val="2"/>
      </rPr>
      <t>SKIP to F20</t>
    </r>
    <r>
      <rPr>
        <sz val="10"/>
        <rFont val="Arial Narrow"/>
        <family val="2"/>
      </rPr>
      <t xml:space="preserve"> (Invasive Plant Cover).</t>
    </r>
  </si>
  <si>
    <t>Deposition of only 0.25 to 0.5 centimeter of new sediment has been shown to significantly reduce species richness, emergence, and germination of wetland plants (Gleason et al. 2001),</t>
  </si>
  <si>
    <t>Gleason, R.A. 2001. Invertebrate egg and plant seedbanks in natural, restored, and drained wetlands in the prairie pothole region and potential effects of sedimentation on recolonization of hydrophytes and aquatic invertebrates. Ph.D. dissertation, South Dakota State Univ., Brookings, SD.</t>
  </si>
  <si>
    <t>Increased dominance by fewer species, such as cattail and various invasive plants, often results from increased salinity in normally non-saline wetlands, and results in decreased native plant richness (Gleason &amp; Euliss 1998).</t>
  </si>
  <si>
    <t>Gleason, R. A., and N. H. Euliss, Jr. 1998. Sedimentation of prairie wetlands. Great Plains Research 8(1):97–112.</t>
  </si>
  <si>
    <t>Salt20</t>
  </si>
  <si>
    <t>SedDep20</t>
  </si>
  <si>
    <t>Large variation in elevations within a wetland, both at a micro- (~1 m) and macro (&gt;10m) scale, suggest greater potential for trapping and retaining snow and other precipitation sufficiently long to allow runoff to infiltrate or evaporate from the wetland and thus delay or avoid its entry into downslope rivers (Kadlec et al. 1981, Price et al. 1990).</t>
  </si>
  <si>
    <r>
      <t xml:space="preserve">Like a constricted outlet, vegetation and other obstacles create a "roughness" within a wetland that can slow the outflow and downstream movement of water (Price &amp; Woo 1988). This is much truer if the vegetation intercepts a large proportion of the flow during high-flow periods (i.e., is not merely along an upland edge that never floods), and is tall and stiff enough to provide some resistance (Arcement &amp; Schneider 1989). However, woody vegetation itself occupies space otherwise available for storing water (this effect is usually negligible).  Water also takes longer to move through complex channel networks (e.g., braided or sinuous) which themselves provide additional friction. </t>
    </r>
    <r>
      <rPr>
        <i/>
        <sz val="10"/>
        <rFont val="Arial Narrow"/>
        <family val="2"/>
      </rPr>
      <t xml:space="preserve"> In calculations, is excluded automatically (cell goes blank) if wetland never has surface water during an average year. Also is excluded automatically if no surface inflow.</t>
    </r>
  </si>
  <si>
    <r>
      <t xml:space="preserve">Wetlands that store water only temporarily or seasonally have longer periods during the year in which soils are unsaturated and thus able to briefly store or delay additional water from precipitation and runoff. Wetland connectivity is key to estimating wetland water storage: wetlands that lack an outlet (never have any outflow) store or dissipate (via evaporation or seepage) nearly all the water they receive (Spence et al. 2011). </t>
    </r>
    <r>
      <rPr>
        <i/>
        <sz val="10"/>
        <rFont val="Arial Narrow"/>
        <family val="2"/>
      </rPr>
      <t>In calculations, is excluded automatically (cell goes blank) if wetland never has surface water during an average year.</t>
    </r>
  </si>
  <si>
    <r>
      <t xml:space="preserve">This directly estimates the relative amount of horizontal space in which precipitation and runoff are being stored, at least temporarily. The ability of wetland water storage to reduce stream peak flows is greatest in summer and fall, where those are the driest times of year (Roulet &amp; Woo 1988, Quinton &amp; Roulet 1998). </t>
    </r>
    <r>
      <rPr>
        <i/>
        <sz val="10"/>
        <rFont val="Arial Narrow"/>
        <family val="2"/>
      </rPr>
      <t>In calculations, is excluded automatically (cell goes blank) if wetland never has surface water during an average year.</t>
    </r>
  </si>
  <si>
    <r>
      <t xml:space="preserve">&lt;5% of the water, or it occupies &lt;100 sq.m cumulatively. Nearly all the surface water is flowing. </t>
    </r>
    <r>
      <rPr>
        <b/>
        <sz val="10"/>
        <rFont val="Arial Narrow"/>
        <family val="2"/>
      </rPr>
      <t>SKIP to F34.</t>
    </r>
  </si>
  <si>
    <t>Does not bump into many plant stems as it travels through the AA. Nearly all the water continues to travel in unvegetated (often incised) channels that have minimal contact with wetland vegetation, or through a zone of open water such as an instream pond or lake.</t>
  </si>
  <si>
    <t xml:space="preserve"> Microbes responsible for most of the nitrate removal in wetlands thrive best at warmer soil or sediment temperatures. In contrast, freeze-thaw cycles in wetlands are often characterized by change from aerobic to anaerobic conditions, which can mobilize nitrate in sediments, making the nitrate vulnerable to being exported downstream. Also, wetlands that are frozen for long periods are generally in regions with shorter growing seasons, resulting in less opportunity for biological uptake of nitrate.</t>
  </si>
  <si>
    <t xml:space="preserve">Other factors being equal, wetlands closer to the coast tend to be more fertile due to deposition of airborne nutrients from marine waters. This potentially supports higher invertebrate numbers and perhaps diversity. </t>
  </si>
  <si>
    <t xml:space="preserve">People are naturally drawn to this region's coastal shorelines for recreation and occasionally for relief from summer heat. </t>
  </si>
  <si>
    <t>OF36</t>
  </si>
  <si>
    <t>Colpitts, M., S. H. Fahmy, J. E. MacDougall, T.T.M. Ng, B. G. McInnis, and V. F. Zelazny. 1995. Forest Soils of New Brunswick. CLBBR Contribution No. 95-38. Centre for Land and Biological Resources Research, Agriculture and Agri-Food Canada, Fredericton, NB.</t>
  </si>
  <si>
    <r>
      <t xml:space="preserve">Narrow outlets limit water outflow from a wetland and its downstream or downslope movement, thus increasing storage (Carter et al. 1979). The types of outlets described here are ones that typically are more constricted than natural channels, which usually have adjusted over time to local runoff and thus are wider relative to volume of flow received. </t>
    </r>
    <r>
      <rPr>
        <i/>
        <sz val="10"/>
        <rFont val="Arial Narrow"/>
        <family val="2"/>
      </rPr>
      <t>In calculations, is excluded automatically (cell goes blank) if no outlet.</t>
    </r>
  </si>
  <si>
    <r>
      <t xml:space="preserve">Deeper water implies greater water volume to potentially feed downslope streams. </t>
    </r>
    <r>
      <rPr>
        <i/>
        <sz val="10"/>
        <rFont val="Arial Narrow"/>
        <family val="2"/>
      </rPr>
      <t>In calculations, is excluded automatically (cell goes blank) if wetland never has surface water during an average year.</t>
    </r>
  </si>
  <si>
    <r>
      <t>Wetlands with greater water depth overall tend to have cooler outflows (depending on elevation of the outlet) because water depth provides insulation from solar warming.</t>
    </r>
    <r>
      <rPr>
        <i/>
        <sz val="10"/>
        <rFont val="Arial Narrow"/>
        <family val="2"/>
      </rPr>
      <t xml:space="preserve"> In calculations, is excluded automatically (cell goes blank) if wetland never has surface water during an average year.</t>
    </r>
  </si>
  <si>
    <r>
      <t xml:space="preserve">Ponded water that is open and unvegetated it is more likely to be heated by the sun. </t>
    </r>
    <r>
      <rPr>
        <i/>
        <sz val="10"/>
        <rFont val="Arial Narrow"/>
        <family val="2"/>
      </rPr>
      <t xml:space="preserve">In calculations, is excluded automatically (cell goes blank) if wetland never has ponded surface water during an average year. </t>
    </r>
  </si>
  <si>
    <r>
      <t xml:space="preserve">The need to cool surface waters is likely to be greatest where streams are south-facing and thus are exposed longer each day to warming sunlight. </t>
    </r>
    <r>
      <rPr>
        <i/>
        <sz val="10"/>
        <rFont val="Arial Narrow"/>
        <family val="2"/>
      </rPr>
      <t xml:space="preserve">In calculations, is excluded automatically (cell goes blank) if wetland is larger than its apparent contributing area. </t>
    </r>
  </si>
  <si>
    <r>
      <t>Unshaded input streams provide more opportunity for wetlands to cool the water. Streams whose contributing areas have a greater extent of roads (road density) have higher temperatures. A study of 104 streams in British Columbia found there is a 6-in-10 chance that the summer maximum weekly average water temperature will increase by 2.3 degrees F if road density in the contributing area exceeds 27 ft of road per acre and by 5.8 degrees F if road density exceeds 53 ft of road per acre (Nelitz et al. 2007). However, overall vegetation patterns in a watershed frequently have an equal or greater influence on stream temperature and aquatic productivity than vegetation just within buffer areas adjoining a stream (Brosofske et al. 1997, Sridhar et al. 2004, Stephenson &amp; Morin 2009). One study found that maximum air temperature within a 100-ft wooded buffer was only slightly cooler than in a 16-ft wide wooded buffer (Meleason &amp; Quinn 2004). Vegetated buffers along north-south streams in British Columbia are more effective than those oriented east-west (Gomi et al. 2006).</t>
    </r>
    <r>
      <rPr>
        <i/>
        <sz val="10"/>
        <rFont val="Arial Narrow"/>
        <family val="2"/>
      </rPr>
      <t xml:space="preserve"> In calculations, is excluded automatically (cell goes blank) if wetland has no input tributary.</t>
    </r>
  </si>
  <si>
    <r>
      <t xml:space="preserve">Ponding allows more time for suspended sediment to settle out. </t>
    </r>
    <r>
      <rPr>
        <i/>
        <sz val="10"/>
        <rFont val="Arial Narrow"/>
        <family val="2"/>
      </rPr>
      <t xml:space="preserve">In calculations, is excluded automatically (cell goes blank) if wetland never has surface water during an average year. </t>
    </r>
  </si>
  <si>
    <r>
      <t xml:space="preserve">As the proportionate area of emergent and other aquatic plants increases, current velocity may be reduced (depending on the distribution of the plants relative to flow paths), and a larger proportion of the sediment may be intercepted, particularly if the wetland is not narrow. </t>
    </r>
    <r>
      <rPr>
        <i/>
        <sz val="10"/>
        <rFont val="Arial Narrow"/>
        <family val="2"/>
      </rPr>
      <t xml:space="preserve">In calculations, is excluded automatically (cell goes blank) if wetland never has ponded surface water during an average year. </t>
    </r>
  </si>
  <si>
    <r>
      <t xml:space="preserve">Wider vegetated areas provide more area for sediment particles borne in runoff to be filtered and deposited. Knutson et al. (1981) found that emergent wetlands wider than 30 feet reduced wave energy by 88% while those less than 6 feet wide were relatively ineffective in wave buffering. Many studies have shown that sediment retention is greatest in the first 5-20 ft of a buffer, that is, the most uphill portion, which is closest to potential inputs of runoff-borne sediment (Polyakov et al. 2005, White et al. 2007). However, this depends on steepness of the terrain, erodibility and infiltration capacity of the soil, ground cover, antecedent soil saturation, sediment particle size, and runoff intensity. Wider buffers are required when runoff carries finer-sized particles (e.g., clay). </t>
    </r>
    <r>
      <rPr>
        <i/>
        <sz val="10"/>
        <rFont val="Arial Narrow"/>
        <family val="2"/>
      </rPr>
      <t>In calculations, is excluded automatically (cell goes blank) if wetland never has surface water during an average year, or has no open water.</t>
    </r>
  </si>
  <si>
    <r>
      <t xml:space="preserve">Wetlands that lack outlets retain all sediment that enters them. Wetlands that connect to downslope water bodies for only part of the year may export less sediment annually than those with persistent outflow. </t>
    </r>
    <r>
      <rPr>
        <i/>
        <sz val="10"/>
        <rFont val="Arial Narrow"/>
        <family val="2"/>
      </rPr>
      <t>In calculations, is excluded automatically (cell goes blank) if wetland never has surface water during an average year.</t>
    </r>
  </si>
  <si>
    <r>
      <t xml:space="preserve">Narrow outlets limit water outflow from a wetland and its downstream or downslope movement, thus causing water to back up into the wetland, which allows more time for suspended sediments to be deposited. The types of outlets described here are ones that typically are more constricted than natural channels. Natural channels usually have adjusted over time to local runoff and thus tend to be wider relative to volume of flow received. A restricting outlet in wetlands can reduce export of sediment (Amatya et al. 2003). </t>
    </r>
    <r>
      <rPr>
        <i/>
        <sz val="10"/>
        <rFont val="Arial Narrow"/>
        <family val="2"/>
      </rPr>
      <t>In calculations, is excluded automatically (cell goes blank) if no outlet. In calculations, is excluded automatically (cell goes blank) if wetland has no surface water outlet.</t>
    </r>
  </si>
  <si>
    <r>
      <t>The need for (and value of) sediment retention that potentially could be provided by wetlands is greater when upland sediment loads are not being retained or rerouted by features closer to the sediment source. If runoff is diverted away from downslope wetlands, such as in road ditches or drainage tile, then those wetlands will become drier. When they do, they will have less opportunity to receive water with suspended solids (Wigington et al. 2005, Hogan &amp; Walbridge 2007). Even when runoff is not diverted from the wetlands, if the volume of runoff entering a wetland per unit time increases, the wetland will be less effective in treating the runoff. That is because increased runoff will often cause tiny channels to develop within the wetland, or will increase the dimensions of existing ones. These factors will decrease the detention time and pollutant contact with vegetation, because most of the vegetation will be positioned apart from the water flowing through in the small channels (McBride &amp; Booth 2005, Alberti et al. 2007).</t>
    </r>
    <r>
      <rPr>
        <i/>
        <sz val="10"/>
        <rFont val="Arial Narrow"/>
        <family val="2"/>
      </rPr>
      <t xml:space="preserve"> In calculations, is excluded automatically (cell goes blank) if wetland is larger than its contributing area.</t>
    </r>
  </si>
  <si>
    <r>
      <t xml:space="preserve">In some cases, sediments that remain covered with water year-round (and longer) tend to become anaerobic and release phosphorus, especially in deeper wetlands. Thus, wetlands with the least extent of persistent water may be most retentive of whatever P they receive. On the other hand, seasonal drawdowns can mobilize phosphorus that has accumulated in sediments (Snyder &amp; Morace 1997, Aldous et al. 2005). To a perhaps lesser extent, reflooding of soils that have been dry for extended periods also can mobilize phosphorus, especially if flooding creates anoxic conditions (Burley et al. 2001), or if large quantities of leaf litter and other organic matter are present and rapidly decompose or leach phosphorus. </t>
    </r>
    <r>
      <rPr>
        <i/>
        <sz val="10"/>
        <rFont val="Arial Narrow"/>
        <family val="2"/>
      </rPr>
      <t>In calculations, is excluded automatically (cell goes blank) if wetland never has surface water during an average year.</t>
    </r>
  </si>
  <si>
    <r>
      <t xml:space="preserve">Wetting and drying of sediments, as happens especially in wetlands with large water level fluctuations, increases the leaching and desorption of phosphorus from sediment organic matter, thus resulting in net export. However, stable water levels also can promote phosphorus export (not retention) because they are often associated with anoxic conditions that result in increased mobility of phosphorus. Sediment P release and subsequent export is particularly strong during periods of seasonal anoxia (Burley et al. 2001). </t>
    </r>
    <r>
      <rPr>
        <i/>
        <sz val="10"/>
        <rFont val="Arial Narrow"/>
        <family val="2"/>
      </rPr>
      <t>In calculations, is excluded automatically (cell goes blank) if wetland never has surface water during an average year, or if none of it floods only seasonally.</t>
    </r>
  </si>
  <si>
    <r>
      <t>Deeper wetlands are more likely to experience anoxic conditions that promote P mobility and export. However, deeper waters also imply slower water velocity, longer water detention time, more time for biological processing of phosphorus, and reduced likelihood of phosphorus associated with deposited sediments being resuspended by wind mixing or currents.</t>
    </r>
    <r>
      <rPr>
        <i/>
        <sz val="10"/>
        <rFont val="Arial Narrow"/>
        <family val="2"/>
      </rPr>
      <t xml:space="preserve"> In calculations, is excluded automatically (cell goes blank) if wetland never has surface water during an average year.</t>
    </r>
  </si>
  <si>
    <r>
      <t xml:space="preserve">Plants take up phosphorus from sediments (and some, from the water directly) and can facilitate long-term retention if P is transferred to roots that are not as subject as the foliage is to leaching the nutrients back into the water column. Plants also facilitate sediment deposition by slowing the water, and much phosphorus is adsorbed on that sediment so is also deposited and potentially retained. However, their decaying foliage also frequently creates anoxic conditions that promote P release from sediments, if iron concentrations are low and aeriation by currents and wind is poor (as tends to occur when emergent and submersed aquatic plants occupy most of a water body). </t>
    </r>
    <r>
      <rPr>
        <i/>
        <sz val="10"/>
        <rFont val="Arial Narrow"/>
        <family val="2"/>
      </rPr>
      <t>In calculations, is excluded automatically (cell goes blank) if wetland never has surface water during an average year.</t>
    </r>
  </si>
  <si>
    <r>
      <t xml:space="preserve">The need for (and value of) phosphorus retention that potentially could be provided by wetlands is greater when upland phosphorus loads are not being retained by features closer to the phosphorus source. </t>
    </r>
    <r>
      <rPr>
        <i/>
        <sz val="10"/>
        <rFont val="Arial Narrow"/>
        <family val="2"/>
      </rPr>
      <t>In calculations, is excluded automatically (cell goes blank) if wetland is larger than its contributing area.</t>
    </r>
  </si>
  <si>
    <r>
      <t xml:space="preserve">Wetlands that receive suspended sediment in runoff from steep slopes are more likely to retain it because of the large differential in current velocities, which promotes deposition in the wetland. This increases the opportunity of the wetlands to process the P, thus increasing the importance (value) of their role in protecting downslope waters from overenrichment. </t>
    </r>
    <r>
      <rPr>
        <i/>
        <sz val="10"/>
        <rFont val="Arial Narrow"/>
        <family val="2"/>
      </rPr>
      <t>In calculations, is excluded automatically (cell goes blank) if wetland is larger than its contributing area.</t>
    </r>
  </si>
  <si>
    <r>
      <t>Ponded conditions provide longer time for nitrate processing, as well as causing sediments to lose oxygen, thus creating a microclimate favorable for denitrification.</t>
    </r>
    <r>
      <rPr>
        <i/>
        <sz val="10"/>
        <rFont val="Arial Narrow"/>
        <family val="2"/>
      </rPr>
      <t xml:space="preserve"> In calculations, is excluded automatically (cell goes blank) if wetland never has surface water during an average year. </t>
    </r>
  </si>
  <si>
    <r>
      <t>Exposing sediments to the air can speed decomposition and cause them to release accumulated nitrate, potentially resulting in less removal. In contrast, long-duration flooding makes sediments anaerobic, which is necessary for the denitrification process (Westermann &amp; Ahring 1987). Denitrification processes occur when anaerobic conditions occur, which are more likely when surface water is present and blocks gas exchange. Shallow inundation tends to decrease emissions of nitrous oxide (Zaman et al. 2007, Song et al. 2008).</t>
    </r>
    <r>
      <rPr>
        <i/>
        <sz val="10"/>
        <rFont val="Arial Narrow"/>
        <family val="2"/>
      </rPr>
      <t xml:space="preserve"> In calculations, is excluded automatically (cell goes blank) if wetland never has surface water during an average year. </t>
    </r>
  </si>
  <si>
    <r>
      <t xml:space="preserve">Denitrification rates are higher in vernal pools and other areas with that are inundated only seasonally, as compared with drier upland forests (Capps et al. 2014). Denitrification occurs at the interface between aerobic and anaerobic conditions, and such conditions often develop where a ponded area expands seasonally into vegetated areas. In addition, levels of soil organic matter are often higher in seasonal wetlands than in permanently inundated ones of comparable extent (Shaffer &amp; Ernst 1999), and organic matter is key to supporting denitrification. </t>
    </r>
    <r>
      <rPr>
        <i/>
        <sz val="10"/>
        <rFont val="Arial Narrow"/>
        <family val="2"/>
      </rPr>
      <t xml:space="preserve">In calculations, is excluded automatically (cell goes blank) if wetland never has surface water during an average year. </t>
    </r>
  </si>
  <si>
    <r>
      <t xml:space="preserve">Wetting and drying of sediments, as happens especially in wetlands with large and frequent water level fluctuations (because a wider area is subject to wetting-drying and associated aerobic-anaerobic shift), increases the loss of nitrate via denitrification (Groffman &amp; Hanson 1997). </t>
    </r>
    <r>
      <rPr>
        <i/>
        <sz val="10"/>
        <rFont val="Arial Narrow"/>
        <family val="2"/>
      </rPr>
      <t>In calculations, is excluded automatically (cell goes blank) if wetland never has surface water during an average year, or if none of it floods only seasonally.</t>
    </r>
  </si>
  <si>
    <r>
      <t xml:space="preserve">Plants take up nitrate from sediments and can facilitate retention if N is transferred to roots not as subject to erosion as foliage. Plants also facilitate sediment deposition by slowing the water, and some nitrate is associated with that sediment so is also deposited and potentially retained. Perhaps most importantly, roots of some plants oxidize the anoxic sediments that surround them and this facilitates denitrification, the major process for removing soluble nitrate from water. </t>
    </r>
    <r>
      <rPr>
        <i/>
        <sz val="10"/>
        <rFont val="Arial Narrow"/>
        <family val="2"/>
      </rPr>
      <t>In calculations, is excluded automatically (cell goes blank) if wetland never has surface water during an average year.</t>
    </r>
  </si>
  <si>
    <r>
      <t xml:space="preserve">Wider vegetated areas provide more area for biological processing of nitrate, and for nitrate adsorbed to sediment particles in runoff to be filtered and deposited. The most comprehensive and sophisticated analysis that used statistical procedures (meta-analysis) to synthesize results from over 60 peer-reviewed studies of nitrate removal by buffers in temperate climates found that widths of approximately 10 ft, 92 ft, and 367 ft are needed to achieve 50%, 75%, and 90% removal efficiencies for nitrate (Mayer et al. 2005, Mayer et al. 2007). This assumed that most inputs are through subsurface flow. When surface flow dominates (as often occurs during storms, and where subsurface storm drains have been installed around homes), buffers of 109 ft, 387 ft, and 810 ft are needed to achieve the same removal efficiencies (Mayer et al. 2005). </t>
    </r>
    <r>
      <rPr>
        <i/>
        <sz val="10"/>
        <rFont val="Arial Narrow"/>
        <family val="2"/>
      </rPr>
      <t>In calculations, is excluded automatically (cell goes blank) if wetland never has surface water during an average year, or has no open water.</t>
    </r>
  </si>
  <si>
    <r>
      <t xml:space="preserve">Greater interspersion of open water and vegetation is hypothesized to support greater nitrate removal. That is because open water areas tend to be more aerobic, whereas densely vegetated areas often are anaerobic, except where plant roots oxidize a small part of the sediment. The combination of anaerobic and aerobic areas in close proximity facilitates nitrate loss through denitrification. </t>
    </r>
    <r>
      <rPr>
        <i/>
        <sz val="10"/>
        <rFont val="Arial Narrow"/>
        <family val="2"/>
      </rPr>
      <t>In calculations, is excluded automatically (cell goes blank) if wetland never has surface water during an average year, if no ponded water, if ponded water but no vegetation, if ponded but no open water.</t>
    </r>
  </si>
  <si>
    <r>
      <t>Narrow outlets limit water outflow from a wetland and its downstream or downslope movement, thus causing water to back up into the wetland, which allows more time for nitrate to be processed. The types of outlets described here are ones that typically are more constricted than natural channels, which usually have adjusted over time to local runoff and thus are wider relative to volume of flow received.</t>
    </r>
    <r>
      <rPr>
        <i/>
        <sz val="10"/>
        <rFont val="Arial Narrow"/>
        <family val="2"/>
      </rPr>
      <t xml:space="preserve"> In calculations, is excluded automatically (cell goes blank) if no outlet.</t>
    </r>
  </si>
  <si>
    <r>
      <t xml:space="preserve">Wetlands that lack outlets retain or remove all nitrate that enters them. Wetlands that connect to downslope water bodies for only part of the year may export less nitrate annually than those with persistent outflow. </t>
    </r>
    <r>
      <rPr>
        <i/>
        <sz val="10"/>
        <rFont val="Arial Narrow"/>
        <family val="2"/>
      </rPr>
      <t>In calculations, is excluded automatically (cell goes blank) if wetland never has surface water during an average year.</t>
    </r>
  </si>
  <si>
    <r>
      <t xml:space="preserve">Larger trees represent larger stores of sequestered carbon, but younger trees fix and accumulate carbon more rapidly (Anwar 2001, Ryan 2005). In New Brunswick, natural stands of sugar maple or yellow birch are believed to sequester the most carbon (Neilson et al. 2007). However, evergreen foliage from coniferous species tends to foster acidic conditions which slow the decomposition of organic matter (Collins and Kuehl 2001), thus leading to greater carbon sequestration. Acidic conditions and/or slowly-decomposing (recalcitrant) evergreen vegetation also can repress both methane generation (Valentine et al. 1994, Updegraff et al. 1995) and methane oxidation, but not necessarily CO2 emissions (Bridgham &amp; Richardson 2003). Carbon can be sequestered more effectively under such conditions (Blanco-Canqui &amp; Lal 2004). The formula used here gives equal weight to the variety of classes and increasing mean diameter. </t>
    </r>
    <r>
      <rPr>
        <i/>
        <sz val="10"/>
        <rFont val="Arial Narrow"/>
        <family val="2"/>
      </rPr>
      <t>In calculations, is excluded automatically (cell goes blank) if few or no trees of any kind are present.</t>
    </r>
  </si>
  <si>
    <r>
      <t xml:space="preserve">Accumulation of carbon as peat is fostered by persistently high water tables or flooded conditions, due to the anaerobic and acidic conditions which slow decay of organic matter (Belyea &amp; Malmer 2004). However, persistently high water tables also increase carbon loss from emissions of methane (Glatzel et al. 2004, Keller et al. 2004, Pelletier et al. 2007, Altor &amp; Mitsch 2008) and occasionally CO2,  although a Saskatchewan study found greater methane release from wetlands flooded for short periods each year than from those flooded semi-permanently (Pennock et al. 2010). Methane emissions in one study occurred mostly when water content of the soil exceeded 25% (Smith et al. 2000). </t>
    </r>
    <r>
      <rPr>
        <i/>
        <sz val="10"/>
        <rFont val="Arial Narrow"/>
        <family val="2"/>
      </rPr>
      <t>In calculations, is excluded automatically (cell goes blank) if wetland never has surface water during an average year.</t>
    </r>
    <r>
      <rPr>
        <sz val="10"/>
        <rFont val="Arial Narrow"/>
        <family val="2"/>
      </rPr>
      <t xml:space="preserve"> </t>
    </r>
  </si>
  <si>
    <r>
      <t>At least in riverine wetlands, overall “average” methane emission from hydrologically pulsed sites may be less than that from sites where inundation is permanent (Mitsch et al. 2005, Altor &amp; Mitsch 2008). Flooding from seasonally connected water bodies also promotes greater plant productivity, which provides more organic matter that potentially can be stored.</t>
    </r>
    <r>
      <rPr>
        <i/>
        <sz val="10"/>
        <rFont val="Arial Narrow"/>
        <family val="2"/>
      </rPr>
      <t xml:space="preserve"> In calculations, is excluded automatically (cell goes blank) if wetland never has surface water during an average year. </t>
    </r>
  </si>
  <si>
    <r>
      <t xml:space="preserve">Very large water level fluctuations can reduce plant productivity and increase the release of methane. Maintaining steadily moist conditions (i.e., little or no water level fluctuation) may minimize methane releases (Tuittila et al. 2000, Price et al. 2003). </t>
    </r>
    <r>
      <rPr>
        <i/>
        <sz val="10"/>
        <rFont val="Arial Narrow"/>
        <family val="2"/>
      </rPr>
      <t>In calculations, is excluded automatically (cell goes blank) if wetland never has surface water during an average year, or if none of it floods only seasonally.</t>
    </r>
  </si>
  <si>
    <r>
      <t xml:space="preserve">Waters that are persistently deeper than 2 ft, and especially deeper than 6 ft, usually support much less vascular plant production which otherwise could be sequestered while acidifying the soil and thus dampening methane emissions. In a flooded pasture of wild hay, plant production declined if continual flooding exceeded 50 days at a depth of 7 inches (Rumberg &amp; Sawyer 1965). On the other hand, methane emissions can decrease with increasing depth of surface water over the range of 0 to 1m depth (Pelletier et al. 2007, Cheng et al. 2007). One study found methane emissions were greater from a lake than a bog (Edwards et al. 2001). </t>
    </r>
    <r>
      <rPr>
        <i/>
        <sz val="10"/>
        <rFont val="Arial Narrow"/>
        <family val="2"/>
      </rPr>
      <t xml:space="preserve">In calculations, is excluded automatically (cell goes blank) if wetland never has surface water during an average year. </t>
    </r>
  </si>
  <si>
    <r>
      <t xml:space="preserve">Aquatic plants, especially those in acidic environments and/or with fibrous tissue, usually add more carbon to wetlands than they lose in the form of CO2 from decomposition. They also trap and deposit particulate carbon carried into a wetland from upslope. However, decomposition of the organic matter from plants in some wetlands generates methane. Methane emissions per unit area can be high in floating mats of vegetation (Moosavi et al. 1996) and in shallow areas with dense cover of vascular plants (Smith et al. 2000, Cheng et al. 2007) whose roots facilitate the movement of methane from soils to the surface, as compared with lower methane emissions in areas of open water (Rose &amp; Crumpton 2006) or mats of submersed aquatic vegetation (Smith et al. 2000). Nonetheless, at least in restored wetlands, the net effect on carbon balance over a projected 33-year period is sequestration (Badiou 2011). </t>
    </r>
    <r>
      <rPr>
        <i/>
        <sz val="10"/>
        <rFont val="Arial Narrow"/>
        <family val="2"/>
      </rPr>
      <t>In calculations, is excluded automatically (cell goes blank) if wetland never has ponded surface water during an average year.</t>
    </r>
  </si>
  <si>
    <r>
      <t xml:space="preserve">Wider bands of vegetation represent more biomass to be sequestered, and are more effective in trapping organic matter carried to the wetland by upland runoff. </t>
    </r>
    <r>
      <rPr>
        <i/>
        <sz val="10"/>
        <rFont val="Arial Narrow"/>
        <family val="2"/>
      </rPr>
      <t>In calculations, is excluded automatically (cell goes blank) if wetland never has surface water during an average year, or no open water.</t>
    </r>
  </si>
  <si>
    <r>
      <t xml:space="preserve">Wetlands that lack outlets retain most carbon that enters them or is produced within. However, methane emissions may be higher due to greater likelihood of anaerobic conditions developing. Wetlands that connect to downslope water bodies for only part of the year would be expected to export less carbon annually than those with persistent outflow. </t>
    </r>
    <r>
      <rPr>
        <i/>
        <sz val="10"/>
        <rFont val="Arial Narrow"/>
        <family val="2"/>
      </rPr>
      <t>In calculations, is excluded automatically (cell goes blank) if wetland never has surface water during an average year.</t>
    </r>
  </si>
  <si>
    <r>
      <t xml:space="preserve">Narrow outlets limit water outflow from a wetland and its downstream or downslope movement, thus causing water to back up into the wetland, which allows more time for scarbon in suspension to settle, although methane emissions may be higher due to greater likelihood of anaerobic conditions developing. Ditching of some wetlands may reduce methane emissions in the long term but initially accelerates the decomposition and loss of historically stored carbon. The types of outlets described here are ones that typically are more constricted than natural channels, which usually have adjusted over time to local runoff and thus are wider relative to volume of flow received. </t>
    </r>
    <r>
      <rPr>
        <i/>
        <sz val="10"/>
        <rFont val="Arial Narrow"/>
        <family val="2"/>
      </rPr>
      <t>In calculations, is excluded automatically (cell goes blank) if no outlet.</t>
    </r>
  </si>
  <si>
    <r>
      <t xml:space="preserve">Flowing rather than ponded waters provide the most opportunity for organic matter to be exported from wetlands (Urban et al. 1989, Dalva &amp; Moore 1991). In some regions, flowing waters also tend to be more productive because nutrients from further upstream are continually introduced into the wetland and replenished. </t>
    </r>
    <r>
      <rPr>
        <i/>
        <sz val="10"/>
        <rFont val="Arial Narrow"/>
        <family val="2"/>
      </rPr>
      <t xml:space="preserve">In calculations, is excluded automatically (cell goes blank) if wetland never has surface water during an average year. </t>
    </r>
  </si>
  <si>
    <r>
      <t xml:space="preserve">Prolonged inundation can stifle plant productivity, whereas seasonal inundation encourages it, and is often associated with conditions that contribute to the export of organic matter, e.g., river floods. Seasonally high water levels promote decomposition (Bayley &amp; Mewhort, 2004) and thus facilitate the export of carbon. </t>
    </r>
    <r>
      <rPr>
        <i/>
        <sz val="10"/>
        <rFont val="Arial Narrow"/>
        <family val="2"/>
      </rPr>
      <t xml:space="preserve">In calculations, is excluded automatically (cell goes blank) if wetland never has surface water during an average year. </t>
    </r>
  </si>
  <si>
    <r>
      <t xml:space="preserve">Dynamic water levels in wetlands with outlets usually imply more productive wetlands and greater export of organic matter, whereas stable water levels typically imply less export. However, if water level fluctuations are too severe (e.g., greater than plant height) production of organic matter can diminish. </t>
    </r>
    <r>
      <rPr>
        <i/>
        <sz val="10"/>
        <rFont val="Arial Narrow"/>
        <family val="2"/>
      </rPr>
      <t>In calculations, is excluded automatically (cell goes blank) if wetland never has surface water during an average year, or if none of it floods only seasonally.</t>
    </r>
  </si>
  <si>
    <r>
      <t xml:space="preserve">Annual productivity is generally greater in shallower areas where light is more available and sediments are subject to aeration from wind mixing. </t>
    </r>
    <r>
      <rPr>
        <i/>
        <sz val="10"/>
        <rFont val="Arial Narrow"/>
        <family val="2"/>
      </rPr>
      <t xml:space="preserve">In calculations, is excluded automatically (cell goes blank) if wetland never has surface water during an average year. </t>
    </r>
  </si>
  <si>
    <r>
      <t xml:space="preserve">The probability that organic matter from wetland plants will be exported increases in relation to the percent of the inundated area containing such plants. </t>
    </r>
    <r>
      <rPr>
        <i/>
        <sz val="10"/>
        <rFont val="Arial Narrow"/>
        <family val="2"/>
      </rPr>
      <t xml:space="preserve">In calculations, is excluded automatically (cell goes blank) if wetland never has ponded surface water during an average year. </t>
    </r>
  </si>
  <si>
    <r>
      <t xml:space="preserve">Interspersion of open water with vegetation promotes greater export of organic matter from the vegetation. </t>
    </r>
    <r>
      <rPr>
        <i/>
        <sz val="10"/>
        <rFont val="Arial Narrow"/>
        <family val="2"/>
      </rPr>
      <t>In calculations, is excluded automatically (cell goes blank) if wetland never has surface water during an average year, if no ponded water, if ponded water but no vegetation, if ponded but no open water.</t>
    </r>
  </si>
  <si>
    <r>
      <t>The plant material from narrower (fringe) wetlands is often more vulnerable to transport into adjoining waters. However, wider wetlands represent larger total stores of organic matter available for waterborne export downstream or offsite (Pacific et al. 2010).</t>
    </r>
    <r>
      <rPr>
        <i/>
        <sz val="10"/>
        <rFont val="Arial Narrow"/>
        <family val="2"/>
      </rPr>
      <t xml:space="preserve"> In calculations, is excluded automatically (cell goes blank) if wetland never has surface water during an average year, or no open water.</t>
    </r>
  </si>
  <si>
    <r>
      <t xml:space="preserve">Areas of persistent water within or adjoining a wetland are necessary to provide refuge, spawning habitat, and travel corridors for all anadromous fish. However, areas of a wetland that dry out seasonally are also important so wetlands that are entirely comprised of persistent water may be no more important than those that have a mix of persistent water areas and seasonally-inundated-only areas. </t>
    </r>
    <r>
      <rPr>
        <i/>
        <sz val="10"/>
        <rFont val="Arial Narrow"/>
        <family val="2"/>
      </rPr>
      <t xml:space="preserve">In calculations, is excluded automatically (cell goes blank) if wetland never has surface water during an average year. </t>
    </r>
  </si>
  <si>
    <r>
      <t xml:space="preserve">Aquatic plants provide cover for fish, and support higher productivity of invertebrates fed upon by fish. However, as aquatic plants decay beneath winter ice, they can deprive fish of necessary oxygen. </t>
    </r>
    <r>
      <rPr>
        <i/>
        <sz val="10"/>
        <rFont val="Arial Narrow"/>
        <family val="2"/>
      </rPr>
      <t xml:space="preserve">In calculations, is excluded automatically (cell goes blank) if wetland never has surface water during an average year. </t>
    </r>
  </si>
  <si>
    <r>
      <t xml:space="preserve">Many studies have demonstrated that large woody debris is critically important to coho and steelhead. It provides cover and creates instream pools that help protect young fish from aerial predators. Shade from pools also provides cooler water preferred by salmonids. Removal of woody debris from one stream  reduced salmonid use to one-fifth the levels with woody debris (Fausch &amp; Northcote 1992). </t>
    </r>
    <r>
      <rPr>
        <i/>
        <sz val="10"/>
        <rFont val="Arial Narrow"/>
        <family val="2"/>
      </rPr>
      <t>In calculations, is excluded automatically (cell goes blank) if wetland never has surface water during an average year, or no open water.</t>
    </r>
  </si>
  <si>
    <r>
      <t>Fish access to wetlands is better, and oxygen deficits harmful to fish are less frequent, if outflows from the wetland are persistent (Henning et al. 2006, 2007). Connectivity between tributaries and more permanent mainstem streams is essential to anadromous fish which use many off-channel habitats.</t>
    </r>
    <r>
      <rPr>
        <i/>
        <sz val="10"/>
        <rFont val="Arial Narrow"/>
        <family val="2"/>
      </rPr>
      <t xml:space="preserve"> In calculations, is excluded automatically (cell goes blank) if wetland never has surface water during an average year.</t>
    </r>
  </si>
  <si>
    <r>
      <t xml:space="preserve">Life histories of fish are closely linked to specific thermal, olfactory, and light (seasonality) conditions as those interact with specific hydrologic patterns. Abnormal patterns of inundation timing (to which fish are not adapted) can reduce survival and ultimately populations. </t>
    </r>
    <r>
      <rPr>
        <i/>
        <sz val="10"/>
        <rFont val="Arial Narrow"/>
        <family val="2"/>
      </rPr>
      <t>In calculations, is excluded automatically (cell goes blank) if wetland has no surface inflows.</t>
    </r>
  </si>
  <si>
    <r>
      <t>Even if not connected to other water bodies, lakes are used extensively by resident fish, and lakeside wetlands provide shelter, rich feeding areas, and substrate for spawning by some species.</t>
    </r>
    <r>
      <rPr>
        <i/>
        <sz val="10"/>
        <rFont val="Arial Narrow"/>
        <family val="2"/>
      </rPr>
      <t xml:space="preserve"> In calculations, presence increases the score but absence has no effect, and is excluded automatically (cell goes blank) if wetland never has surface water during an average year. </t>
    </r>
  </si>
  <si>
    <r>
      <t xml:space="preserve">Different resident fish species have different habitat needs, and a variety of depths within a wetland implies greater capacity of the wetland to meet the needs of multiple species. </t>
    </r>
    <r>
      <rPr>
        <i/>
        <sz val="10"/>
        <rFont val="Arial Narrow"/>
        <family val="2"/>
      </rPr>
      <t xml:space="preserve">In calculations, is excluded automatically (cell goes blank) if wetland never has surface water during an average year. </t>
    </r>
  </si>
  <si>
    <r>
      <t xml:space="preserve">The second condition implies greater diversity of plants, which sometimes is associated with greater diversity of aquatic invertebrates. </t>
    </r>
    <r>
      <rPr>
        <i/>
        <sz val="10"/>
        <rFont val="Arial Narrow"/>
        <family val="2"/>
      </rPr>
      <t>In calculations, is excluded automatically (cell goes blank) if no exposed herbaceous vegetation in the wetland.</t>
    </r>
  </si>
  <si>
    <r>
      <t xml:space="preserve">Wetlands in which surface water persists longer are capable of supporting a wider variety of invertebrates, e.g., those that require many months or years to complete their life cycle, as well as those that mature more rapidly. Thus, wetlands with a proportionately large extent of persistent water may benefit a wide range of aquatic invertebrates. </t>
    </r>
    <r>
      <rPr>
        <i/>
        <sz val="10"/>
        <rFont val="Arial Narrow"/>
        <family val="2"/>
      </rPr>
      <t xml:space="preserve">In calculations, is excluded automatically (cell goes blank) if wetland never has surface water during an average year. </t>
    </r>
  </si>
  <si>
    <r>
      <t xml:space="preserve">The parts of a wetland that are inundated only seasonally may contain water long enough for many invertebrates to complete their life cycle, while providing fresh food resources (e.g., plant litter). They also tend to be shallower and less deficient in dissolved oxygen, making them suitable for a wider range of species. Seasonal fluctuations release nutrients bound up in wetland sediments, and stimulate the growth of new plants whose seeds have been dormant. However, some invertebrate taxa, such as those without winged adult stages living in isolated wetlands (bog pools), may not survive prolonged desiccation. </t>
    </r>
    <r>
      <rPr>
        <i/>
        <sz val="10"/>
        <rFont val="Arial Narrow"/>
        <family val="2"/>
      </rPr>
      <t xml:space="preserve">In calculations, is excluded automatically (cell goes blank) if wetland never has surface water during an average year. </t>
    </r>
  </si>
  <si>
    <r>
      <t xml:space="preserve">Dynamic water levels in wetlands with outlets usually imply more productive wetlands and greater export of organic matter, whereas stable water levels typically imply less export. However, if water level fluctuations are too severe (e.g., greater than plant height) production of organic matter can diminish. Also, more stable water levels may benefit aquatic invertebrates in regions where many streams and wetlands are prone to sudden fluctuations from melting snow and storms. </t>
    </r>
    <r>
      <rPr>
        <i/>
        <sz val="10"/>
        <rFont val="Arial Narrow"/>
        <family val="2"/>
      </rPr>
      <t>In calculations, is excluded automatically (cell goes blank) if wetland never has surface water during an average year, or if none of it floods only seasonally.</t>
    </r>
  </si>
  <si>
    <r>
      <t xml:space="preserve">Different invertebrate groups thrive at different water depths in boreal wetlands (Corcoran et al. 2009). Thus, a variety of depths may promote greater invertebrate richness for the wetland as a whole. </t>
    </r>
    <r>
      <rPr>
        <i/>
        <sz val="10"/>
        <rFont val="Arial Narrow"/>
        <family val="2"/>
      </rPr>
      <t xml:space="preserve">In calculations, is excluded automatically (cell goes blank) if wetland never has surface water during an average year. </t>
    </r>
  </si>
  <si>
    <r>
      <t>Emergent and submerged vegetation typically hosts extensive growths of epiphytic algae, which along with the supporting herbaceous plants, provide food and cover for a wide variety of invertebrates. Intermediate cover conditions allow more light penetration of the water column, higher algal productivity, greater oxygenation, and thus tend to support a wide variety of invertebrate groups.</t>
    </r>
    <r>
      <rPr>
        <i/>
        <sz val="10"/>
        <rFont val="Arial Narrow"/>
        <family val="2"/>
      </rPr>
      <t xml:space="preserve"> In calculations, is excluded automatically (cell goes blank) if wetland never has ponded surface water during an average year. </t>
    </r>
  </si>
  <si>
    <r>
      <t xml:space="preserve">Greater invertebrate diversity overall may be supported by wetlands with a relatively even mix of open water and vegetation, interspersed throughout. Such conditions reflect a variety of light, temperature, and oxygen regimes as well as edge habitats (ecotones) that together provide more niches for invertebrates. </t>
    </r>
    <r>
      <rPr>
        <i/>
        <sz val="10"/>
        <rFont val="Arial Narrow"/>
        <family val="2"/>
      </rPr>
      <t>In calculations, is excluded automatically (cell goes blank) if wetland never has surface water during an average year, if no ponded water, if ponded water but no vegetation, if ponded but no open water.</t>
    </r>
  </si>
  <si>
    <r>
      <t xml:space="preserve">The importance of large wood to aquatic life has been widely documented in perennial streams (literature reviewed by Murphy 1995, May 2003, Wenger 2000, Knutson and Naef 1997) and in lakes (Roth et al. 2007). Many aquatic invertebrates attach to submerged wood and feed on algae and leaves associated with it. Constructed wetlands to which woody debris is added may support greater biomass or richness of several aquatic invertebrate groups (e.g., Alsfeld et al. 2009). Most instream wood originates in the parts of the riparian areas that are within 100 ft of a stream (McDade et al. 1990, Van Sickle &amp; Gregory 1990, Robison &amp; Beschta 1990, Meleason et al. 2003). </t>
    </r>
    <r>
      <rPr>
        <i/>
        <sz val="10"/>
        <rFont val="Arial Narrow"/>
        <family val="2"/>
      </rPr>
      <t xml:space="preserve">In calculations, is excluded automatically (cell goes blank) if wetland never has open surface water during an average year. </t>
    </r>
  </si>
  <si>
    <r>
      <t xml:space="preserve">Diffuse flow paths and large spatial complexity of channels within a wetland support a wider variety of microhabitats for invertebrates, so should result in greater species richness. </t>
    </r>
    <r>
      <rPr>
        <i/>
        <sz val="10"/>
        <rFont val="Arial Narrow"/>
        <family val="2"/>
      </rPr>
      <t>In calculations, is excluded automatically (cell goes blank) if wetland never has surface water during an average year or if no surface inflows.</t>
    </r>
  </si>
  <si>
    <r>
      <t>Groundwater provides a relatively steady input of nutrients (e.g., Morley et al. 2011). That can support greater algal production and consequently greater invertebrate production and perhaps diversity. It also provides relatively warm temperatures and helps sustain low flows, thus increasing annual production of invertebrates (Brown et al. 2007). However, where underlying geologic strata are iron-rich, groundwater discharge is often accompanied by precipitation of iron "floc" in wetland sediment, smothering aquatic invertebrates and reducing their diversity.</t>
    </r>
    <r>
      <rPr>
        <i/>
        <sz val="10"/>
        <rFont val="Arial Narrow"/>
        <family val="2"/>
      </rPr>
      <t xml:space="preserve"> In calculations, is excluded automatically (cell goes blank) if no evidence of groundwater influx; otherwise is rated based on response in column D.</t>
    </r>
  </si>
  <si>
    <r>
      <t xml:space="preserve">Open water is important to a wide array of nesting waterbirds, and is most available in "fringe" wetlands. </t>
    </r>
    <r>
      <rPr>
        <i/>
        <sz val="10"/>
        <rFont val="Arial Narrow"/>
        <family val="2"/>
      </rPr>
      <t xml:space="preserve">In calculations, is excluded automatically (cell goes blank) if wetland never has persistent surface water during an average year. </t>
    </r>
  </si>
  <si>
    <r>
      <t xml:space="preserve">Lacustrine wetlands are especially attractive to nesting waterbirds, partly because of the variety of foods they provide, and the refuge that the large expanse of open water provides from terrestrial predators. However, use by some nesting waterbird species may be less if there is frequent motorboat use. In Maine, nesting waterbird richness was less in lacustrine wetlands than other wetland types, but the hosted species (loons, grebes) were less common in other wetland types so the lacustrine wetlands contributed disproportionately to regional bird diversity (Gibbs et al. 1991). </t>
    </r>
    <r>
      <rPr>
        <i/>
        <sz val="10"/>
        <rFont val="Arial Narrow"/>
        <family val="2"/>
      </rPr>
      <t xml:space="preserve">In calculations, presence increases the score but absence has no effect. </t>
    </r>
  </si>
  <si>
    <r>
      <t xml:space="preserve">Marshes with a relatively even mix of open water and emergent vegetation tend to support the most nesting waterbird species in this region (Gibbs et al. 1991, Longcore et al. 2006, Hierl et al. 2007). Emergent and submersed vegetation is an essential food for many duck species, either directly or because of the higher densities of invertebrate foods that it supports (Epners et al. 2010). </t>
    </r>
    <r>
      <rPr>
        <i/>
        <sz val="10"/>
        <rFont val="Arial Narrow"/>
        <family val="2"/>
      </rPr>
      <t xml:space="preserve">In calculations, is excluded automatically (cell goes blank) if wetland never has ponded surface water during an average year. </t>
    </r>
  </si>
  <si>
    <r>
      <t xml:space="preserve">Tree cavities are needed by many nesting songbirds (Drapeau et al. 2009) and mammals such as roosting bats (Grindal &amp; Brigham 1999, Grindal et al. 1999). Tall snags are especially useful to raptors as hunting perches. </t>
    </r>
    <r>
      <rPr>
        <i/>
        <sz val="10"/>
        <rFont val="Arial Narrow"/>
        <family val="2"/>
      </rPr>
      <t xml:space="preserve">In calculations, is excluded automatically (cell goes blank) if wetland has few or no trees. </t>
    </r>
  </si>
  <si>
    <r>
      <t xml:space="preserve">Parts of wetlands that remain flooded most of the time will support fewer small mammals and songbirds due to lack of vertical structural complexity. Wetlands with at least a little persistent water are important to aerially-foraging swallows, swifts, and flycatchers, as well as bats, muskrat, beaver, moose, and many other mammals. </t>
    </r>
    <r>
      <rPr>
        <i/>
        <sz val="10"/>
        <rFont val="Arial Narrow"/>
        <family val="2"/>
      </rPr>
      <t xml:space="preserve">In calculations, is excluded automatically (cell goes blank) if wetland never has surface water during an average year. </t>
    </r>
  </si>
  <si>
    <r>
      <t xml:space="preserve">A mix of diameter classes may indicate a wider variety of woody species available for pollination. The formula gives equal weight to the variety of classes and increasing mean diameter. Deciduous trees allow more light penetration and thus tend to support more flowering plants in the understory. Larger trees provide more deadwood for bee and wasp colonies. </t>
    </r>
    <r>
      <rPr>
        <i/>
        <sz val="10"/>
        <rFont val="Arial Narrow"/>
        <family val="2"/>
      </rPr>
      <t>In calculations, is excluded automatically (cell goes blank) if wetland has few or no trees. The score is based equally on the proportion of classes present and their weighted average.</t>
    </r>
  </si>
  <si>
    <r>
      <t xml:space="preserve">Dead wood provides critical nesting habitat for many pollinators. </t>
    </r>
    <r>
      <rPr>
        <i/>
        <sz val="10"/>
        <rFont val="Arial Narrow"/>
        <family val="2"/>
      </rPr>
      <t>In calculations, is excluded automatically (cell goes blank) if wetland has few or no trees.</t>
    </r>
  </si>
  <si>
    <r>
      <t xml:space="preserve">Downed wood provides nest sites and shelter for some pollinators. </t>
    </r>
    <r>
      <rPr>
        <i/>
        <sz val="10"/>
        <rFont val="Arial Narrow"/>
        <family val="2"/>
      </rPr>
      <t>In calculations, is excluded automatically (cell goes blank) if wetland has few or no trees.</t>
    </r>
  </si>
  <si>
    <r>
      <t xml:space="preserve">Wetlands comprised almost entirely of persistent water usually have much less vegetation cover, so fewer plants per unit area are available to pollinators. </t>
    </r>
    <r>
      <rPr>
        <i/>
        <sz val="10"/>
        <rFont val="Arial Narrow"/>
        <family val="2"/>
      </rPr>
      <t xml:space="preserve">In calculations, is excluded automatically (cell goes blank) if wetland never has surface water during an average year. </t>
    </r>
  </si>
  <si>
    <r>
      <t xml:space="preserve">Wetlands with wider vegetated areas are more likely to contain more plant species and rarer and more sensitive plants, as well as being more insulated from some upland disturbances (Rooney &amp; Bayley 2011). </t>
    </r>
    <r>
      <rPr>
        <i/>
        <sz val="10"/>
        <rFont val="Arial Narrow"/>
        <family val="2"/>
      </rPr>
      <t>In calculations, is excluded automatically (cell goes blank) if wetland never has surface water during an average year, or has no open water.</t>
    </r>
  </si>
  <si>
    <r>
      <t>Relatively even mixes of emergent plants and open water imply that both submerged aquatics and emergents may be present, thus comprising greater diversity.</t>
    </r>
    <r>
      <rPr>
        <i/>
        <sz val="10"/>
        <rFont val="Arial Narrow"/>
        <family val="2"/>
      </rPr>
      <t xml:space="preserve"> In calculations, is excluded automatically (cell goes blank) if wetland never has surface water during an average year, if no ponded water, if ponded water but no vegetation, if ponded but no open water.</t>
    </r>
  </si>
  <si>
    <r>
      <t xml:space="preserve">Beaver impoundments increase richness of wetland plants locally, especially a few years after they are abandoned (Pollock et al. 1998, Wright et al. 2002, 2003; Gallant et al. 2004, Bayley &amp; Guimond 2008, Hood &amp; Bayley 2008). </t>
    </r>
    <r>
      <rPr>
        <i/>
        <sz val="10"/>
        <rFont val="Arial Narrow"/>
        <family val="2"/>
      </rPr>
      <t xml:space="preserve">In calculations, is excluded automatically (cell goes blank) if wetland never has surface water during an average year. </t>
    </r>
  </si>
  <si>
    <r>
      <t xml:space="preserve">A dominance of common species usually implies overall reduction in plant species richness. Although shrubs contribute to onsite plant diversity, wetland shrub communities are generally less diverse than herbaceous plant communities in wetlands. </t>
    </r>
    <r>
      <rPr>
        <i/>
        <sz val="10"/>
        <rFont val="Arial Narrow"/>
        <family val="2"/>
      </rPr>
      <t>In calculations, is excluded automatically (cell goes blank) if little or no shrub cover is present.</t>
    </r>
  </si>
  <si>
    <r>
      <t>Strong dominance by one or a few species, even if those are natives, is sometimes an indicator of impaired ecological condition. However, newly created wetlands often have high richness of colonizing species.</t>
    </r>
    <r>
      <rPr>
        <i/>
        <sz val="10"/>
        <rFont val="Arial Narrow"/>
        <family val="2"/>
      </rPr>
      <t xml:space="preserve"> In calculations, is excluded automatically (cell goes blank) if little or no herbaceous cover is present.</t>
    </r>
  </si>
  <si>
    <r>
      <t xml:space="preserve">Ponding indicates water is in storage rather than being transferred immediately downslope. Water distributed in small pools is more subject to loss via evapotranspiration before it can exit a wetland, and this delay can measurably reduce peak outflows (Price &amp; Maloney 1994). </t>
    </r>
    <r>
      <rPr>
        <i/>
        <sz val="10"/>
        <rFont val="Arial Narrow"/>
        <family val="2"/>
      </rPr>
      <t>In calculations, is excluded automatically (cell goes blank) if wetland never has surface water during an average year.</t>
    </r>
  </si>
  <si>
    <t>Holmquist, J., J. Jones, J. Schmidt-Gengenbach, L. Pierotti, and J. Love. 2011. Terrestrial and Aquatic Macroinvertebrate Assemblages as a Function of Wetland Type Across a Mountain Landscape. Institute of Arctic and Alpine Research, University of Colorado, Boulder, CO.</t>
  </si>
  <si>
    <t>Hornung, J. and A. L. Foote. 2006. Aquatic invertebrate responses to fish presence and vegetation complexity in Western Boreal wetlands, with implications for waterbird productivity. Wetlands 26:1-12.</t>
  </si>
  <si>
    <t xml:space="preserve">If a wetland is capable of storing runoff, its positive effect on controlling downslope flood peaks is greater if it is large relative to the volume of runoff it receives, which is reflected somewhat by the extent of its contributing area. Wetlands that comprise a large portion of their contributing area have a greater potential to control the runoff arriving from that lmited area. </t>
  </si>
  <si>
    <r>
      <t xml:space="preserve">The need for (and value of) storage potentially provided by wetlands is greater when upland runoff is rapid, as occurs when much of the contributing area contains impervious surface (Laenen 1980, Waite et al. 2006). In contributing areas with extensive impervious surface, the proportion of stream flow due to surface runoff can be as much as five times that seen in forested catchments (Arnold &amp; Gibbons 1996). The increase in surface runoff due to urbanization is especially greater in the Pacific Northwest due the naturally high infiltration capacity of the soils and the low intensity of the rainfall, which makes surface runoff a rare phenomenon in undeveloped watersheds (Booth &amp; Jackson 1997). Increased surface runoff causes a shortening of the lag time between precipitation and stream flow response (Hirsch et al. 1990). The effect is higher peak flows but of shorter duration than those in forested catchments receiving comparable rainfall (Leopold 1968). </t>
    </r>
    <r>
      <rPr>
        <i/>
        <sz val="10"/>
        <rFont val="Arial Narrow"/>
        <family val="2"/>
      </rPr>
      <t xml:space="preserve"> In calculations, is ignored (cell goes blank) if wetland appears to have no contributing area.</t>
    </r>
  </si>
  <si>
    <r>
      <t xml:space="preserve">Where most of the surface water is ponded, it is more likely to be heated by the sun than if distributed in the channels or residing underground. </t>
    </r>
    <r>
      <rPr>
        <i/>
        <sz val="10"/>
        <rFont val="Arial Narrow"/>
        <family val="2"/>
      </rPr>
      <t>This indicator is used only if some persistent surface water is present in the AA.</t>
    </r>
    <r>
      <rPr>
        <sz val="10"/>
        <rFont val="Arial Narrow"/>
        <family val="2"/>
      </rPr>
      <t xml:space="preserve"> </t>
    </r>
    <r>
      <rPr>
        <i/>
        <sz val="10"/>
        <rFont val="Arial Narrow"/>
        <family val="2"/>
      </rPr>
      <t>In calculations, is excluded automatically (cell goes blank) if wetland never has surface water during an average year.</t>
    </r>
  </si>
  <si>
    <r>
      <t xml:space="preserve">If soil or sediment within a wetland is eroding, the wetland is unlikely to be trapping incoming suspended sediment. </t>
    </r>
    <r>
      <rPr>
        <i/>
        <sz val="10"/>
        <rFont val="Arial Narrow"/>
        <family val="2"/>
      </rPr>
      <t xml:space="preserve"> In calculations, is ignored (cell goes blank) if wetland soil is currently intact, but is scored as a negative if disturbance is occurring.</t>
    </r>
  </si>
  <si>
    <t>High levels of these substances, such as from livestock use or wastewater effluent, can harm amphibian populations and reduce amphibian diversity, e.g., Schmutzer et al. 2008).  In calculations, the indicator score is set to 0 if those contaminants are present within the AA, is set to 0.2 if within 1 km and connected, is set to 1 if sampling shows no problems, or is set to blank (indicator is ignored) if data are insufficient.</t>
  </si>
  <si>
    <t>The condition is present within the AA.</t>
  </si>
  <si>
    <t>Sampling during both low water periods and times with high runoff (storms, snowmelt) indicates no problems in either the AA or inflowing waters.</t>
  </si>
  <si>
    <t>The condition is present within 5 km downslope and connected to the AA by a channel, or within 1 km but not connected to the AA by a channel.</t>
  </si>
  <si>
    <t>The condition is present within 1 km downslope and connected to the AA by a channel.</t>
  </si>
  <si>
    <t>The need for (and value of) sediment-trapping capacity (which is potentially provided by wetlands) is greater when upland runoff is rapid and erosive, as occurs when much of the contributing area contains unvegetated surface. However, a study in Alaska that compared total sediment yield in channels surrounded by old-growth, clear cut, and young alder found no significant difference in sediment yield (Gomi &amp; Sidle 2003). In calculations, is excluded automatically (cell goes blank) if wetland is larger than its contributing area.</t>
  </si>
  <si>
    <r>
      <t xml:space="preserve">Most anadromous fish require relatively cool waters, and shade helps maintain cool water temperatures, especially in lowland streams during low flow conditions. Cool waters (less than 68 degrees F, ideally less than 60F) are particularly important to salmonid fish because at higher temperatures less of the dissolved oxygen necessary for their survival (a minimum of 5 ppm is needed by most local fish) is able to remain in the water. However, shade also can reduce algal productivity and thus the abundance of aquatic insects, although this may be compensated somewhat by increased availability of terrestrial insects that fall off the shading vegetation and into waters where they are fed upon by fish. </t>
    </r>
    <r>
      <rPr>
        <i/>
        <sz val="10"/>
        <rFont val="Arial Narrow"/>
        <family val="2"/>
      </rPr>
      <t>In calculations, is excluded automatically (cell goes blank) if wetland never has surface water during an average year, or if water is present only seasonally, or if wetland is in the lower third of a watershed (because shade has less effect on water temperature in the wider channels there).</t>
    </r>
  </si>
  <si>
    <r>
      <t xml:space="preserve">&gt;90%, or all the area within 30 m of the AA edge is other wetlands. </t>
    </r>
    <r>
      <rPr>
        <b/>
        <sz val="10"/>
        <rFont val="Arial Narrow"/>
        <family val="2"/>
      </rPr>
      <t>SKIP to F55</t>
    </r>
    <r>
      <rPr>
        <sz val="10"/>
        <rFont val="Arial Narrow"/>
        <family val="2"/>
      </rPr>
      <t>.</t>
    </r>
  </si>
  <si>
    <r>
      <t xml:space="preserve">None, or &lt;1% of the AA and largest pool occupies &lt;0.01 hectares. Enter "1" and </t>
    </r>
    <r>
      <rPr>
        <b/>
        <sz val="10"/>
        <rFont val="Arial Narrow"/>
        <family val="2"/>
      </rPr>
      <t>SKIP to F41</t>
    </r>
    <r>
      <rPr>
        <sz val="10"/>
        <rFont val="Arial Narrow"/>
        <family val="2"/>
      </rPr>
      <t xml:space="preserve"> (Floating Algae &amp; Duckweed).</t>
    </r>
  </si>
  <si>
    <r>
      <t xml:space="preserve">Increased slope in a watershed or buffer strip results in more erosion and greater transport of soil particles to downslope wetlands, e.g., Trimble &amp; Sartz (1957), Dillaha et al. (1988, 1989), Phillips (1989), and Nieswand et al. (1990). Sediment export from sloping lands mostly begins at about 10% slope and increases as slope becomes steeper (Zhang et al. 2010). Greater sediment loads associated with steeper slopes increase the opportunity for wetlands to trap that sediment, thus increasing their value in protecting waters further downslope. </t>
    </r>
    <r>
      <rPr>
        <i/>
        <sz val="10"/>
        <rFont val="Arial Narrow"/>
        <family val="2"/>
      </rPr>
      <t>In calculations, is excluded automatically (cell goes blank) if wetland is larger than its contributing area or the last choice was selected in the previous question.</t>
    </r>
  </si>
  <si>
    <t>Wetlands fed by groundwater tend to remain saturated for longer in the summer, thus increasing their chances of supporting streamflow downslope (Burrell &amp; Anderson 1991, Morley et al. 2011).  Wetlands are typically ground water discharge areas where they occur at the toe of much steeper slopes (Crabtree &amp; Burt 1983) or at geologic faults (Stein et al. 2004).</t>
  </si>
  <si>
    <t>Sphagnum Moss Extent</t>
  </si>
  <si>
    <r>
      <t xml:space="preserve">% of Water That Is </t>
    </r>
    <r>
      <rPr>
        <b/>
        <sz val="11"/>
        <rFont val="Arial Narrow"/>
        <family val="2"/>
      </rPr>
      <t xml:space="preserve">Ponded </t>
    </r>
    <r>
      <rPr>
        <sz val="11"/>
        <rFont val="Arial Narrow"/>
        <family val="2"/>
      </rPr>
      <t>(not Flowing)</t>
    </r>
  </si>
  <si>
    <r>
      <t xml:space="preserve">During most of the growing season, the largest patch of </t>
    </r>
    <r>
      <rPr>
        <b/>
        <sz val="10"/>
        <rFont val="Arial Narrow"/>
        <family val="2"/>
      </rPr>
      <t>open water</t>
    </r>
    <r>
      <rPr>
        <sz val="10"/>
        <rFont val="Arial Narrow"/>
        <family val="2"/>
      </rPr>
      <t xml:space="preserve"> that is ponded and is in or bordering the AA is &gt;0.01 hectare (about 10 m by 10 m) and mostly deeper than 0.5 m. If true enter "1" and continue,  If false, enter "0" and </t>
    </r>
    <r>
      <rPr>
        <b/>
        <sz val="10"/>
        <rFont val="Arial Narrow"/>
        <family val="2"/>
      </rPr>
      <t>SKIP to F41</t>
    </r>
    <r>
      <rPr>
        <sz val="10"/>
        <rFont val="Arial Narrow"/>
        <family val="2"/>
      </rPr>
      <t xml:space="preserve"> (Floating Algae &amp; Duckweed).</t>
    </r>
  </si>
  <si>
    <t>WETLAND RISK (average of Sensitivity &amp; Stressors)</t>
  </si>
  <si>
    <t>Definitions/Explanations</t>
  </si>
  <si>
    <t xml:space="preserve">The horizontal flow distance from the wetland's inlet to outlet is: </t>
  </si>
  <si>
    <t xml:space="preserve">Benefits Score (raw) </t>
  </si>
  <si>
    <t>Benefit Indicators</t>
  </si>
  <si>
    <t>Benefits Score for Water Storage</t>
  </si>
  <si>
    <t>Carter, V., M. S. Bedinger, R. P. Novitski, and W. Wilen. 1979. Water resources and wetlands. Pages 344–376 in P. E. Greeson, J. R. Clark, and J. E. Clark, editors. Wetland Functions and Benefits: The State of Our Understanding. American Water Resources Association, Minneapolis, MN.</t>
  </si>
  <si>
    <t>Benefits Score for Low Flow Augmentation</t>
  </si>
  <si>
    <t>Benefit Score for Water Cooling</t>
  </si>
  <si>
    <t>Benefits Score for Sediment Retention &amp; Stabilization</t>
  </si>
  <si>
    <t xml:space="preserve">Benefits Score for Phosphorus Retention </t>
  </si>
  <si>
    <t>Benefits Score for Nitrate Removal</t>
  </si>
  <si>
    <t>Benefits Score for Carbon Sequestration</t>
  </si>
  <si>
    <t>Benefit              Indicators</t>
  </si>
  <si>
    <t>Benefits Score for Anadromous Fish Habitat</t>
  </si>
  <si>
    <t>Benefits Score for Resident Fish Habitat</t>
  </si>
  <si>
    <t>Benefits Score for Aquatic Invertebrate Habitat</t>
  </si>
  <si>
    <t>Benefits Score for Feeding Waterbird Habitat</t>
  </si>
  <si>
    <t>Benefits Score for Nesting Waterbird Habitat</t>
  </si>
  <si>
    <t>Benefits Score for Songbird, Raptor, &amp; Mammal Habitat</t>
  </si>
  <si>
    <t>Benefits Score for Pollinator Habitat</t>
  </si>
  <si>
    <t>Benefits Score for Native Plant Habitat</t>
  </si>
  <si>
    <t>Benefits Score for Public Use &amp; Recognition</t>
  </si>
  <si>
    <t>Flood marks (algal mats, adventitious roots, debris lines, ice scour, etc.) are often evident when not fully inundated. Also, such areas often have a larger proportion of upland and annual (vs. perennial) plant species. In riverine systems, the extent of this zone can be estimated by multiplying by 2 the bankful height and visualising where that would intercept the land along the river. [CS, FA, INV, NR, OE, PH, SR, WBF, WBN, WS]</t>
  </si>
  <si>
    <t xml:space="preserve">% of Ponded Water that is Open </t>
  </si>
  <si>
    <t>"Vegetated area" does not include underwater or floating-leaved plants, i.e., aquatic bed. Width may include wooded riparian areas if they have wetland soil or plant indicators. [AM, CS, NR, OE, PH, PR, SBM, Sens, SR, WBN]</t>
  </si>
  <si>
    <t>If several isolated pools are present in early summer, estimate the percent of their collective shorelines that has such a gentle slope. [SR, WBN]</t>
  </si>
  <si>
    <t>[AM, FA, FR, INV, NR, OE, PH, PR, SBM, SR, WBF, WBN]</t>
  </si>
  <si>
    <t>For this question, consider only the wood that is at or above the water surface. Estimates of underwater wood based only on observations from terrestrial viewpoints are unreliable so should not be attempted. [AM, FA, FR, INV]</t>
  </si>
  <si>
    <t>[WBN]</t>
  </si>
  <si>
    <t>[EC, PR, WBF]</t>
  </si>
  <si>
    <t>[FA, FR, INV, NR, OE, PR, SR, WS]</t>
  </si>
  <si>
    <t xml:space="preserve"> [FA, FR, PH, SBM, Sens, WBF, WBN]</t>
  </si>
  <si>
    <t>[AM, SBM]</t>
  </si>
  <si>
    <t>[NR, SBM, Sens]</t>
  </si>
  <si>
    <t xml:space="preserve"> [NRv, PRv, SRv, WSv]</t>
  </si>
  <si>
    <t>[PU]</t>
  </si>
  <si>
    <t xml:space="preserve"> If you are unable to determine the condition at the driest time of year, ask the land owner or neighbors about it if possible. Indicators of persistence may include fish, some dragonflies, beaver, and muskrat. [AM, CS, FA, FR, INV, NR, POL, PR, SBM, WBF, WBN]</t>
  </si>
  <si>
    <t>Look for flood marks (see above).  Because the annual range of water levels is difficult to estimate without multiple visits, consider asking the land owner or neighbors about it. [AM, CS, INV, NR, OE, PH, PR, SR, WBN, WS]</t>
  </si>
  <si>
    <r>
      <rPr>
        <b/>
        <sz val="10"/>
        <rFont val="Arial Narrow"/>
        <family val="2"/>
      </rPr>
      <t>Open water</t>
    </r>
    <r>
      <rPr>
        <sz val="10"/>
        <rFont val="Arial Narrow"/>
        <family val="2"/>
      </rPr>
      <t xml:space="preserve"> is not obscured by vegetation in aerial ("duck's eye") view.  It includes vegetation floating on the water surface or entirely submersed beneath it.  </t>
    </r>
  </si>
  <si>
    <t>Snags are dead standing trees that often (not always) lack bark and foliage.  Include only ones that are at least 2 m tall.  [POL, SBM, WBN]</t>
  </si>
  <si>
    <t>Exclude temporary "burn piles."  [AM, INV, POL, SBM]</t>
  </si>
  <si>
    <t>Do not include N-fixing algae or lichens. [FA, FR, INV, NRv, OE, PH, SBM, Sens]</t>
  </si>
  <si>
    <t>Exclude moss growing on trees and rocks. [CS, PH]</t>
  </si>
  <si>
    <t xml:space="preserve"> [AM, NR, SBM]</t>
  </si>
  <si>
    <t>[CS, NR, OE, PH, PR, Sens, SFS, WS]</t>
  </si>
  <si>
    <t>This addresses needs of many but not all migratory sandpipers, plovers, and related species. [WBF]</t>
  </si>
  <si>
    <t>[CS]</t>
  </si>
  <si>
    <t xml:space="preserve"> [EC, PH, POL, Sens]</t>
  </si>
  <si>
    <t>[NRv, PRv, Sens, SRv]</t>
  </si>
  <si>
    <t>Do not include upturned trees as potential den sites.  [POL, SBM]</t>
  </si>
  <si>
    <t>[PH, PU]</t>
  </si>
  <si>
    <t>[AM, PU, WBF, WBN]</t>
  </si>
  <si>
    <t>[NRv]</t>
  </si>
  <si>
    <t>50-500 m, but separated by those features.</t>
  </si>
  <si>
    <t>0.5 - 5 km, but separated by those features.</t>
  </si>
  <si>
    <t xml:space="preserve">&lt;5% of the land. </t>
  </si>
  <si>
    <t>5 to 20% of the land.</t>
  </si>
  <si>
    <t>20 to 60% of the land.</t>
  </si>
  <si>
    <t>60 to 90% of the land.</t>
  </si>
  <si>
    <t>50-500 m, and not separated.</t>
  </si>
  <si>
    <t>0.5 - 1 km, and not separated.</t>
  </si>
  <si>
    <t>0.5 - 1 km, but separated by those features.</t>
  </si>
  <si>
    <t>OF27</t>
  </si>
  <si>
    <t>coniferous trees (may include tamarack) taller than 3 m.</t>
  </si>
  <si>
    <t>deciduous trees taller than 3 m.</t>
  </si>
  <si>
    <t>coniferous, 1-9 cm diameter and &gt;1 m tall.</t>
  </si>
  <si>
    <t>broad-leaved deciduous 1-9 cm diameter and &gt;1 m tall.</t>
  </si>
  <si>
    <t>coniferous, 10-19 cm diameter.</t>
  </si>
  <si>
    <t>broad-leaved deciduous 10-19 cm diameter.</t>
  </si>
  <si>
    <t>coniferous, 20-40 cm diameter.</t>
  </si>
  <si>
    <t>broad-leaved deciduous 20-40 cm diameter.</t>
  </si>
  <si>
    <t>coniferous, &gt;40 cm diameter.</t>
  </si>
  <si>
    <t>broad-leaved deciduous &gt;40 cm diameter.</t>
  </si>
  <si>
    <t>None, or fewer than 8/ hectare which exceed this diameter.</t>
  </si>
  <si>
    <t>5-25% of the vegetated part of the AA.</t>
  </si>
  <si>
    <t>25-50% of the vegetated part of the AA.</t>
  </si>
  <si>
    <t>50-95% of the vegetated part of the AA.</t>
  </si>
  <si>
    <t>&gt;95% of the vegetated part of the AA.</t>
  </si>
  <si>
    <t>Other conditions.</t>
  </si>
  <si>
    <t>Intermediate.</t>
  </si>
  <si>
    <t>Several (extensive micro-topography).</t>
  </si>
  <si>
    <t>Few or none.</t>
  </si>
  <si>
    <t>100-1000 sq. m.</t>
  </si>
  <si>
    <t>1000 – 10,000 sq. m.</t>
  </si>
  <si>
    <t xml:space="preserve">&gt;10,000 sq. m. </t>
  </si>
  <si>
    <t>5-25% of the herbaceous part of the AA.</t>
  </si>
  <si>
    <t>25-50% of the herbaceous part of the AA.</t>
  </si>
  <si>
    <t>50-95% of the herbaceous part of the AA.</t>
  </si>
  <si>
    <t>&gt;95% of the herbaceous part of the AA.</t>
  </si>
  <si>
    <t>&lt;5% of the vegetated area, or none.</t>
  </si>
  <si>
    <t>5-50% of the vegetated area.</t>
  </si>
  <si>
    <t>50-95% of the vegetated area.</t>
  </si>
  <si>
    <t>&gt;95% of the vegetated area.</t>
  </si>
  <si>
    <t>some (but &lt;5%) of the upland edge.</t>
  </si>
  <si>
    <t>5-50% of the upland edge.</t>
  </si>
  <si>
    <t>most (&gt;50%) of the upland edge.</t>
  </si>
  <si>
    <t>25-50% of the AA never contains surface water.</t>
  </si>
  <si>
    <t>50-75% of the AA never contains surface water.</t>
  </si>
  <si>
    <t>1-20% of the AA.</t>
  </si>
  <si>
    <t>20-50% of the AA.</t>
  </si>
  <si>
    <t>50-95% of the AA.</t>
  </si>
  <si>
    <t>5-25% of the water is shaded.</t>
  </si>
  <si>
    <t>25-50% of the water is shaded.</t>
  </si>
  <si>
    <t>50-75% of the water is shaded.</t>
  </si>
  <si>
    <t>&gt;75% of the water is shaded.</t>
  </si>
  <si>
    <t>1-20% of the AA, or &lt;1% but &gt;0.01 ha.</t>
  </si>
  <si>
    <t>&lt;10 cm change (stable or nearly so).</t>
  </si>
  <si>
    <t>10 cm - 50 cm change.</t>
  </si>
  <si>
    <t>0.5 - 1 m change.</t>
  </si>
  <si>
    <t>1-2 m change.</t>
  </si>
  <si>
    <t>&gt;2 m change.</t>
  </si>
  <si>
    <t>&lt;10 cm deep (but &gt;0).</t>
  </si>
  <si>
    <t>10 - 50 cm deep.</t>
  </si>
  <si>
    <t>0.5 - 1 m deep.</t>
  </si>
  <si>
    <t>1 - 2 m deep.</t>
  </si>
  <si>
    <t xml:space="preserve">One depth class that comprises &gt;90% of the AA’s inundated area (use the classes in the question above). </t>
  </si>
  <si>
    <t>One depth class that comprises 50-90% of the AA's inundated area.</t>
  </si>
  <si>
    <t>5-30% of the water.</t>
  </si>
  <si>
    <t>30-70% of the water.</t>
  </si>
  <si>
    <t>70-95% of the water.</t>
  </si>
  <si>
    <t>&gt;95% of the water.</t>
  </si>
  <si>
    <t>&lt;1% of the water edge.</t>
  </si>
  <si>
    <t>1-25% of the water edge.</t>
  </si>
  <si>
    <t>25-50% of the water edge.</t>
  </si>
  <si>
    <t>50-75% of the water edge.</t>
  </si>
  <si>
    <t>&gt;75% of the water edge.</t>
  </si>
  <si>
    <t>1-25% of the emergent vegetation.</t>
  </si>
  <si>
    <t>25-75% of the emergent vegetation.</t>
  </si>
  <si>
    <t>&gt;75%, of the emergent vegetation.</t>
  </si>
  <si>
    <t>Little or none.</t>
  </si>
  <si>
    <t>Extensive.</t>
  </si>
  <si>
    <r>
      <t xml:space="preserve">During its travel through the AA at the time of peak annual flow, water arriving in channels: [select only the ONE encountered by </t>
    </r>
    <r>
      <rPr>
        <b/>
        <sz val="10"/>
        <rFont val="Arial Narrow"/>
        <family val="2"/>
      </rPr>
      <t xml:space="preserve">most </t>
    </r>
    <r>
      <rPr>
        <sz val="10"/>
        <rFont val="Arial Narrow"/>
        <family val="2"/>
      </rPr>
      <t>of the incoming water].</t>
    </r>
  </si>
  <si>
    <t>&lt;5% and no inhabited building is within 100 m of the AA.</t>
  </si>
  <si>
    <t>&lt;5% and inhabited building is within 100 m of the AA.</t>
  </si>
  <si>
    <t>5-50% and no inhabited building is within 100 m of the AA.</t>
  </si>
  <si>
    <t>5-50% and inhabited building is within 100 m of the AA.</t>
  </si>
  <si>
    <t>&gt;95% of the AA.</t>
  </si>
  <si>
    <t>No.</t>
  </si>
  <si>
    <t>Site Identifier:</t>
  </si>
  <si>
    <t>Investigator:</t>
  </si>
  <si>
    <t>Crabtree, R. W. and T. P. Burt. 1983. Spatial variation in solutional denudation and soil moisture over a hillslope hollow. Earth Surface Processes and Landforms 8:151-160.</t>
  </si>
  <si>
    <t>Stein, E., M. Mattson, A. E. Fetscher, and K. J. Halama. 2004. Influence of geologic setting on slope wetland hydrodynamics. Wetlands 24: 244-260.</t>
  </si>
  <si>
    <t>Anderson, M. P. 2005. Heat as a ground water tracer. Groundwater 43:951-968.</t>
  </si>
  <si>
    <t>ShedPos2</t>
  </si>
  <si>
    <t>Physical Accumulation</t>
  </si>
  <si>
    <t>Paquette, G. A. and C. D. Ankney. 1996. Wetland selection by American green-winged teal breeding in British Columbia. Condor:27-33.</t>
  </si>
  <si>
    <t>McAuley, D. G. and J. R. Longcore. 1988. Survival of juvenile ring-necked ducks on wetlands of different pH. The Journal of Wildlife Management:169-176.</t>
  </si>
  <si>
    <t>Stevens, C. E., T. S. Gabor, and A. W. Diamond. 2003. Use of restored small wetlands by breeding waterfowl in Prince Edward Island, Canada. Restoration Ecology 11:3-12.</t>
  </si>
  <si>
    <t>S</t>
  </si>
  <si>
    <t>AVERAGE(Toxic, ToxicData, Enrich, SedLoad, SoilDisturb, CAimperv, BuffDisturbTyp)</t>
  </si>
  <si>
    <t>AVERAGE(NatVegCA, RdBox, WeedSource)</t>
  </si>
  <si>
    <t>AVERAGE(RecUse, Core1, Core2, DistRd, VisibWet, PopCtrDist, Owner, BurnHist)</t>
  </si>
  <si>
    <t>(MAX(HydroStress, WQstress, FragStress, DisturbStress)) + AVERAGE(HydroStress, WQstress, FragStress, DisturbStress))/2</t>
  </si>
  <si>
    <t>AVERAGE[GDD, AVERAGE(Wettype, Nfix, NewWet, Acidic, Conductiv)]</t>
  </si>
  <si>
    <t>AVERAGE(HerbDom, Elev, NatVegProx, NatVegSize, NatVegCUpct, PondProx, LakeProx)</t>
  </si>
  <si>
    <t>AVERAGE(TreeDBHs, TreeCover)</t>
  </si>
  <si>
    <t>AVERAGE(Ownership, Visibility, RdDist, Core1PU, Core2PU, ElevPU, PopCtrDisPU, TidalProxPU)</t>
  </si>
  <si>
    <t>AVERAGE (Width, Size, SizeVegConn, SatPct)</t>
  </si>
  <si>
    <t>[AVERAGE (Core1, Core2, BMPsoils, WeedSource) + AVERAGE(PopCtr, DistRd) + MIN(AltTime, Salt, SedDep, SedDisturb) ]/3</t>
  </si>
  <si>
    <t>AVERAGE(Toxic, CovPctScape, DistNat, BuffPerim, BuffLUtype)</t>
  </si>
  <si>
    <t>AVERAGE(AbioSens, BioSens, Fertility, Climate, Colonizer, GrowthRate)</t>
  </si>
  <si>
    <t>AVERAGE (WetTypeDiv, CUbuffNatPct, CUtypeLU, NatVegProx, NatVegPctScape, ScapeLU, NatVegSize)</t>
  </si>
  <si>
    <t>AVERAGE (CoreA, CoreB, BuffPerim, PopCtr, RdBox, DisRd)</t>
  </si>
  <si>
    <r>
      <t xml:space="preserve">IF((AllWater=1),0, </t>
    </r>
    <r>
      <rPr>
        <b/>
        <sz val="10"/>
        <rFont val="Arial Narrow"/>
        <family val="2"/>
      </rPr>
      <t>ELSE</t>
    </r>
    <r>
      <rPr>
        <sz val="10"/>
        <rFont val="Arial Narrow"/>
        <family val="2"/>
      </rPr>
      <t>: (AVERAGE(PermWpct, AVERAGE(StrucA, StrucB, Produc, Lscape, Wscape, Stress))</t>
    </r>
  </si>
  <si>
    <t>AVERAGE(BuffLUtype, BuffNatPct, RdDis)</t>
  </si>
  <si>
    <r>
      <t xml:space="preserve">IF((AllSat=1), 0, IF((TooSteep=1),0, IF((TooSmall=1),0, </t>
    </r>
    <r>
      <rPr>
        <b/>
        <sz val="10"/>
        <rFont val="Arial Narrow"/>
        <family val="2"/>
      </rPr>
      <t>ELSE</t>
    </r>
    <r>
      <rPr>
        <sz val="10"/>
        <rFont val="Arial Narrow"/>
        <family val="2"/>
      </rPr>
      <t>: 
[3*AVERAGE(AqPlantCov, SizeHerbac, Wettype,Wscape) +2*AVERAGE(HydroRegime, Structure, Productivity) + AVERAGE(Stressors, Landscape)] / 6</t>
    </r>
  </si>
  <si>
    <t>AVERAGE(ABpct, WoodAbove, Interspers, Vwidth)</t>
  </si>
  <si>
    <t>AVERAGE[RoadCirc, AVERAGE(NatVegPct, BuffLU, NatVegProx, NatCov2mi, ScapeLU, NatVegSize)]</t>
  </si>
  <si>
    <t>AVERAGE [ABpct, AVERAGE(AqCov, WoodHerbMix, HerbDiv, Gcover, WoodDown, Girreg) ]</t>
  </si>
  <si>
    <t>AVERAGE(Interspers, ThruFlo, IsoWet)</t>
  </si>
  <si>
    <t>AVERAGE(Imperv, NatVegPctCU, CUbuffLUtype, Subtypes)</t>
  </si>
  <si>
    <t>AVERAGE [Struc, Productivity, AVERAGE(Hydropd, Connec, Stressors, LScape]</t>
  </si>
  <si>
    <t>AVERAGE(AnadFish, ResFish, Amphib, WbirdF, WbirdNest, SongbMam)</t>
  </si>
  <si>
    <t>AVERAGE(SatPct, Depth, DepthEven, PermWPct, Interspers, ThruFlo)</t>
  </si>
  <si>
    <t>AVERAGE[Beaver, AVERAGE(Wettype, Shade, WoodAbove, ABpct, AqCov) ]</t>
  </si>
  <si>
    <t>AVERAGE(InletOutlet, GroundW, NewWetland, Wettype, Conduc, Karst, Nfix, Lake)</t>
  </si>
  <si>
    <t xml:space="preserve">AVERAGE(Depth, SatPct, MAX(SeasWPct, PermWPct), Lake, Interspers, ThruFlo) </t>
  </si>
  <si>
    <t>AVERAGE(NatVegPctCU, BuffLU, ImpervCA)</t>
  </si>
  <si>
    <t>MIN(Acid, ToxicIn, SedIn, AltTime, ToxData)</t>
  </si>
  <si>
    <t>AVERAGE(SoilTex, NewWet)</t>
  </si>
  <si>
    <t>AVERAGE[(AVERAGE(WoodyTyp, TreeCanop, Groundw), AVERAGE(Warmth, Aspect)]</t>
  </si>
  <si>
    <t>AVERAGE(PondPct, Width, FloDist, Gcover, Thruflo, Interspers, Elev, WetPctCA)</t>
  </si>
  <si>
    <t>AVERAGE(OutDur, Gradient, Constric)</t>
  </si>
  <si>
    <t>AVERAGE(Acid, SoilTex, WetType, NewWetland, AqPlantCov, SoilDisturb)</t>
  </si>
  <si>
    <t>(AVERAGE(SatPct, Persis, SeasPct) + AVERAGE(Fluctu, UpEdgeShape, Inclusions, Girreg))/2</t>
  </si>
  <si>
    <r>
      <t xml:space="preserve">IF((NoOutlet=1), 1, IF((AllSat1=1), (2*Connec + Intercep + FrozDur + Organic + Redox)/6, </t>
    </r>
    <r>
      <rPr>
        <b/>
        <sz val="10"/>
        <rFont val="Arial Narrow"/>
        <family val="2"/>
      </rPr>
      <t>ELSE</t>
    </r>
    <r>
      <rPr>
        <sz val="10"/>
        <rFont val="Arial Narrow"/>
        <family val="2"/>
      </rPr>
      <t>: (3*Redox + 2*Connec + FrozDur + Organic + Intercep)/ 8)))</t>
    </r>
  </si>
  <si>
    <t>AVERAGE(Gradient, FlowDist, AVERAGE(Girreg, Gcover, CApctB))</t>
  </si>
  <si>
    <t>IF(AllSat1=1),"", IF(NoPonded=1),"", AVERAGE (Width, MAX(Thruflo, AqPlantCov, Interspers))</t>
  </si>
  <si>
    <t>AVERAGE(OutDur, Constric, Gradient, FlowDist, Lake)</t>
  </si>
  <si>
    <t>AVERAGE(SoilTex, Stain, CalcFen)</t>
  </si>
  <si>
    <t>IF(AllSat1=1),"", AVERAGE(Fluctua, SeasPct)</t>
  </si>
  <si>
    <t>IF(AllSat1=1),"", AVERAGE(OutDura, FlowDist, Depth, Ponding, Constric, WatEdgeSlope)</t>
  </si>
  <si>
    <t>AVERAGE[Gradient, WetPctCA, AVERAGE(Girreg, Gcover, SoilDisturb)]</t>
  </si>
  <si>
    <t>(IF((AllSat1=1), DryIntercept, IF((NoOutlet=1), 1, (2*AVERAGE(Entrain, LiveStore2) + AVERAGE(DryIntercept, WetIntercept))/3)))</t>
  </si>
  <si>
    <t>IF((AllSat1=1), Gwater, ELSE: AVERAGE(Gwater, Shade, OpenPonded, Depth, ISOdry, SatPct)))</t>
  </si>
  <si>
    <t>IF(Fringe=1), 0, OutDur  X [AVERAGE(ShadeIn, ShedPos, Aspect, Imperv, Warmth) + AnadFish] /2</t>
  </si>
  <si>
    <t>AVERAGE(Groundw, Wettype)</t>
  </si>
  <si>
    <t>AVERAGE(Aspect, Depth, Soil)</t>
  </si>
  <si>
    <t>AVERAGE[ShedPos, AVERAGE(InvScore, AnadScore, ResFishScore)]</t>
  </si>
  <si>
    <r>
      <t xml:space="preserve">IF((AllSat1=1), (3*Gradient +AVERAGE(Gcover, Girreg))/4, </t>
    </r>
    <r>
      <rPr>
        <b/>
        <sz val="10"/>
        <rFont val="Arial Narrow"/>
        <family val="2"/>
      </rPr>
      <t>ELSE</t>
    </r>
    <r>
      <rPr>
        <sz val="10"/>
        <rFont val="Arial Narrow"/>
        <family val="2"/>
      </rPr>
      <t>: AVERAGE(Gradient, Constric, ThruFlo, FloDist, IsoDry)</t>
    </r>
  </si>
  <si>
    <t>IF(AllWet=1), 0, AVERAGE(PollenOnsite, NestSites, Stress)</t>
  </si>
  <si>
    <t>Subsurf</t>
  </si>
  <si>
    <t>ConnectivLF</t>
  </si>
  <si>
    <t>ClimateLF</t>
  </si>
  <si>
    <t>GpC_2</t>
  </si>
  <si>
    <t>LiveStore2</t>
  </si>
  <si>
    <t>DryIntercept</t>
  </si>
  <si>
    <t>WetIntercept</t>
  </si>
  <si>
    <t>FreezeDura3</t>
  </si>
  <si>
    <t>IntercepDry3</t>
  </si>
  <si>
    <t>IntercepWet3</t>
  </si>
  <si>
    <t>Connec3</t>
  </si>
  <si>
    <t>Adsorb3</t>
  </si>
  <si>
    <t>Desorb3</t>
  </si>
  <si>
    <t>FrozDura4</t>
  </si>
  <si>
    <t>Intercep4</t>
  </si>
  <si>
    <t>Connec4</t>
  </si>
  <si>
    <t>Organic4</t>
  </si>
  <si>
    <t>Redox4</t>
  </si>
  <si>
    <t>HistAccum5</t>
  </si>
  <si>
    <t>Productiv</t>
  </si>
  <si>
    <t>PhysAccum5</t>
  </si>
  <si>
    <t>MethLimit5</t>
  </si>
  <si>
    <t>HistAccum6</t>
  </si>
  <si>
    <t>Productiv6</t>
  </si>
  <si>
    <t>FrozDura6</t>
  </si>
  <si>
    <t>PlantCov6</t>
  </si>
  <si>
    <t>NutrAvail6</t>
  </si>
  <si>
    <t>ExportPot6</t>
  </si>
  <si>
    <t>Hydropd9</t>
  </si>
  <si>
    <t>Struc9</t>
  </si>
  <si>
    <t>Produc9</t>
  </si>
  <si>
    <t>Lscape9</t>
  </si>
  <si>
    <t>Stress9</t>
  </si>
  <si>
    <t>Hydro10</t>
  </si>
  <si>
    <t>Struc10</t>
  </si>
  <si>
    <t>Produc10</t>
  </si>
  <si>
    <t>AnoxRisk10</t>
  </si>
  <si>
    <t>Stress10</t>
  </si>
  <si>
    <t>Structure8</t>
  </si>
  <si>
    <t>Hydropd8</t>
  </si>
  <si>
    <t>Connec8</t>
  </si>
  <si>
    <t>Food8</t>
  </si>
  <si>
    <t>Lscape8</t>
  </si>
  <si>
    <t>Stressors8</t>
  </si>
  <si>
    <t>Hydro11</t>
  </si>
  <si>
    <t>AqStruc11</t>
  </si>
  <si>
    <t>TerrStruc11</t>
  </si>
  <si>
    <t>Produc11</t>
  </si>
  <si>
    <t>Lscape11</t>
  </si>
  <si>
    <t>Benefits Score for Amphibian Habitat</t>
  </si>
  <si>
    <t>Stress11</t>
  </si>
  <si>
    <t>Hydro12</t>
  </si>
  <si>
    <t>Struc12</t>
  </si>
  <si>
    <t>Produc12</t>
  </si>
  <si>
    <t>Lscape12</t>
  </si>
  <si>
    <t>Stress12</t>
  </si>
  <si>
    <t>Hydro13</t>
  </si>
  <si>
    <t>Struc13</t>
  </si>
  <si>
    <t>Produc13</t>
  </si>
  <si>
    <t>Wscape</t>
  </si>
  <si>
    <t>Stressors13</t>
  </si>
  <si>
    <t>Lscape13</t>
  </si>
  <si>
    <t>StrucA</t>
  </si>
  <si>
    <t>StrucB</t>
  </si>
  <si>
    <t>Produc</t>
  </si>
  <si>
    <t>Lscape14</t>
  </si>
  <si>
    <t>Wscape14</t>
  </si>
  <si>
    <t>Stress14</t>
  </si>
  <si>
    <t>PollenOn</t>
  </si>
  <si>
    <t>Stress0</t>
  </si>
  <si>
    <t>SppArea</t>
  </si>
  <si>
    <t>Lscape</t>
  </si>
  <si>
    <t>AqFertilPD</t>
  </si>
  <si>
    <t>TerrFertilPD</t>
  </si>
  <si>
    <t>CompetPD</t>
  </si>
  <si>
    <t>StressPD</t>
  </si>
  <si>
    <t>Conven</t>
  </si>
  <si>
    <t>Invest</t>
  </si>
  <si>
    <t>RecPot</t>
  </si>
  <si>
    <t>HydroStress</t>
  </si>
  <si>
    <t>WQstress</t>
  </si>
  <si>
    <t>FragStress</t>
  </si>
  <si>
    <t>DisturbStress</t>
  </si>
  <si>
    <t>ToxicIn11</t>
  </si>
  <si>
    <t>Wetland Functions or Other Attributes:</t>
  </si>
  <si>
    <t>AVERAGE (OutDura, Constric,AqPlantCov, Gradient, IsoWet)</t>
  </si>
  <si>
    <t>AVERAGE(Depth, AVERAGE(Freeze, Warmth, MossCov, WetType)</t>
  </si>
  <si>
    <t>AVERAGE [OutDura, Gradient, FloDist, AVERAGE(Constric, ThruFlo, Interspers, Width, PondedPct)]</t>
  </si>
  <si>
    <t>GDD</t>
  </si>
  <si>
    <t>AVERAGE(Warmth, Groundw)</t>
  </si>
  <si>
    <t>If accessible and otherwise suitable for fish, wetlands closer to the coast are more likely to support  anadromous species due partly to reduced duration of ice cover, shorter instream migration routes, and potentially elevated aquatic productivity.</t>
  </si>
  <si>
    <t>AVERAGE (OutDura, Depth, Warmth)</t>
  </si>
  <si>
    <t>AVERAGE(Core1, Core2, BMP, Toxics)</t>
  </si>
  <si>
    <t>AVERAGE(Wettype, Gradient, Acidity, ShoreSlope, Fish, Island)</t>
  </si>
  <si>
    <t>(AVERAGE(SizeHerbac, Vwidth))*((AVERAGE(Nfix, Inclus, UpEdge, Hardwd)))</t>
  </si>
  <si>
    <t>[PH, POL, SBM, Sens]</t>
  </si>
  <si>
    <t>[AM, WBF, WBN]</t>
  </si>
  <si>
    <t>[FR, PR, PU, WBF, WBN]</t>
  </si>
  <si>
    <t>Nearly all wetlands with surface water have some ponded water. [AM, CS, INV, NR, OE, PR, Sens, SR, WBF, WBN, WC, WS]</t>
  </si>
  <si>
    <t>"Major runoff events" would include biennial high water caused by storms and/or rapid snowmelt. [CS, NR, OE, PR, Sens, SR, STR, WS]</t>
  </si>
  <si>
    <t>If inlet tributaries cannot be searched for due to inaccessibility of part of the AA, follow suggestions in F42 above. [NRv, PH, PRv, SRv]</t>
  </si>
  <si>
    <t>[WCv]</t>
  </si>
  <si>
    <t>This is not the same as the shoreline slope. It is the elevational difference between the AA's inlet and outlet, divided by the flow-distance between them and converted to percent. If available, use a clinometer to measure this. Free clinometer apps can be downloaded to smartphones. If the wetland is large (longer than ~1 km), this may be estimated using Google Earth to determine the minimum and maximum elevation within the AA, then dividing by length and multiplying by 100.  [CS, NR, OE, PR, SR, WBF, WBN, WS]</t>
  </si>
  <si>
    <t>[AM, FA, INV, NRv, PH, POL, SBM, STR, WBN]</t>
  </si>
  <si>
    <t>Determine this using historical aerial photography, old maps, soil maps, or permit files as available [CS, NR, OE, PH, Sens]</t>
  </si>
  <si>
    <t>Look for charred soil or stumps (in multiple widely-spaced locations) or ask landowner. [CS, PH, STR]</t>
  </si>
  <si>
    <t>[PU, STR, WBFv]</t>
  </si>
  <si>
    <t>[PU, STR]</t>
  </si>
  <si>
    <t>[AM, FAv, FRv, PH, PU, SBM, STR, WBF, WBN]</t>
  </si>
  <si>
    <t>[AM, PH, PU, SBM, STR, WBF, WBN]</t>
  </si>
  <si>
    <t>[FAv, FRv, WBFv]</t>
  </si>
  <si>
    <t>[PH, PR]</t>
  </si>
  <si>
    <t>In the last column, place a check mark next to any item -- occurring in either the wetland or its CA -- that is likely to have accelerated the inputs of contaminants or salts to the AA. [AM, FA, PH, POL, STR]</t>
  </si>
  <si>
    <t>In the last column, place a check mark next to any item -- occurring in either the wetland or its CA -- that is likely to have accelerated the inputs of nutrients to the wetland. [NRv, PRv, STR]</t>
  </si>
  <si>
    <t>In the last column, place a check mark next to any item present in the CA that is likely to have elevated the load of waterborne or windborne sediment reaching the wetland from its CA. [FA, FR, INV, PH, SRv, STR]</t>
  </si>
  <si>
    <t>In the last column, place a check mark next to any item present in the wetland that is likely to have compacted, eroded, or otherwise altered the wetland's soil. Consider only items occurring within past 100 years or since wetland was created or restored (whichever is less). [CS, INV, NR, PH, SR, STR]</t>
  </si>
  <si>
    <t>MAX(HerbUniq, WoodyUniq, RareHerb)</t>
  </si>
  <si>
    <t>Amphibian &amp; Turtle Habitat (AM)</t>
  </si>
  <si>
    <t>Amphibian &amp; Turtle Habitat</t>
  </si>
  <si>
    <t>ConsDesig1</t>
  </si>
  <si>
    <t>This reflects more widespread recognition of particular wetlands or their surroundings.</t>
  </si>
  <si>
    <t>MAX(MitigaSite, ConsInvest, ConsDesig, SciUse)</t>
  </si>
  <si>
    <t>GWsens</t>
  </si>
  <si>
    <r>
      <t>Unvegetated uplands provide the least refuge for emerging aquatic insects, and also are most likely to contribute contaminants and disturb runoff patterns. Agricultural land cover seemed less impacting than impervious cover. Most organisms were capable of tolerating high levels of agricultural land cover, but a few disappeared when agricultural land cover exceeded 21% of the watershed area.</t>
    </r>
    <r>
      <rPr>
        <i/>
        <sz val="10"/>
        <rFont val="Arial Narrow"/>
        <family val="2"/>
      </rPr>
      <t xml:space="preserve"> In calculations, is excluded automatically (cell goes blank) if F52 was answered positively.</t>
    </r>
  </si>
  <si>
    <t>B</t>
  </si>
  <si>
    <t>MAX[Aquifer, GWsens, Inflo, MAX(NSource, NsampUp, NsampDown, Nfix), AVERAGE(Imperv, RdDist, PopDist), AVERAGE(CAnatPct, BuffSlope, BuffCovTyp, Transport)]</t>
  </si>
  <si>
    <t>AVERAGE(Feeding Waterbird Habitat score, Fishing, PopDist, DistRd, Core)))</t>
  </si>
  <si>
    <r>
      <t xml:space="preserve">Among woody plants, low shrubs such as blueberry and current tend to be the most common sources of pollen for pollinating insects, and are most dependent on insects for pollination.  </t>
    </r>
    <r>
      <rPr>
        <i/>
        <sz val="10.5"/>
        <rFont val="Arial Narrow"/>
        <family val="2"/>
      </rPr>
      <t>In calculations, the woody plant height and form that is most favoured by pollinators (column E) and is most predominant (column D) is identified automatically and placed on the 0 to 1 scale.</t>
    </r>
  </si>
  <si>
    <t>AVERAGE[persist, AVERAGE(woodydbh, snags, downwood, girreg, cliff, gcover)]</t>
  </si>
  <si>
    <t>Forbs0</t>
  </si>
  <si>
    <t>AVERAGE[MAX(WoodyHtForm, Forbs), AVERAGE(herbsens, herbdiv, ShrubDiv)]</t>
  </si>
  <si>
    <r>
      <t>Dependency of pollinators on a particular herbaceous wetland (and thus its importance) increases if no other herbaceous habitats are available in the vicinity.</t>
    </r>
    <r>
      <rPr>
        <i/>
        <sz val="10"/>
        <rFont val="Arial Narrow"/>
        <family val="2"/>
      </rPr>
      <t xml:space="preserve"> In calculations, the highest score is given for uniqueness judged at the 5 km scale.</t>
    </r>
  </si>
  <si>
    <r>
      <t xml:space="preserve">Dependency of pollinators on a particular wooded wetland (and thus its importance) increases if no other wooded areas are available in the vicinity. </t>
    </r>
    <r>
      <rPr>
        <i/>
        <sz val="10"/>
        <rFont val="Arial Narrow"/>
        <family val="2"/>
      </rPr>
      <t xml:space="preserve"> In calculations, the highest score is given for uniqueness judged at the 5 km scale.</t>
    </r>
  </si>
  <si>
    <r>
      <t xml:space="preserve">Dependency of amphibians on a wetland (and thus its importance) increases if no other natural vegetation of comparable type and extent is available in the vicinity.  </t>
    </r>
    <r>
      <rPr>
        <i/>
        <sz val="10"/>
        <rFont val="Arial Narrow"/>
        <family val="2"/>
      </rPr>
      <t>In calculations, the highest score is given for uniqueness judged at the 5 km scale.</t>
    </r>
  </si>
  <si>
    <r>
      <t>Dependency of waterbirds on a particular herbaceous wetland (and thus its importance) increases if no other herbaceous habitats are available in the vicinity.  I</t>
    </r>
    <r>
      <rPr>
        <i/>
        <sz val="10"/>
        <rFont val="Arial Narrow"/>
        <family val="2"/>
      </rPr>
      <t>n calculations, the highest score is given for uniqueness judged at the 5 km scale.</t>
    </r>
  </si>
  <si>
    <r>
      <t xml:space="preserve">Dependency of waterbirds on a particular herbaceous wetland (and thus its importance) increases if no other herbaceous habitats are available in the vicinity. </t>
    </r>
    <r>
      <rPr>
        <i/>
        <sz val="10.5"/>
        <rFont val="Arial Narrow"/>
        <family val="2"/>
      </rPr>
      <t xml:space="preserve"> In calculations, the highest score is given for uniqueness judged at the 5 km scale.</t>
    </r>
  </si>
  <si>
    <r>
      <t xml:space="preserve">Dependency of songbirds on a particular herbaceous wetland (and thus its importance) increases if no other herbaceous habitats are available in the vicinity. </t>
    </r>
    <r>
      <rPr>
        <i/>
        <sz val="10"/>
        <rFont val="Arial Narrow"/>
        <family val="2"/>
      </rPr>
      <t xml:space="preserve"> In calculations, the highest score is given for uniqueness judged at the 5 km scale.</t>
    </r>
  </si>
  <si>
    <r>
      <t xml:space="preserve">Dependency of songbirds on a particular wooded wetland (and thus its importance) increases if no other wooded areas are available in the vicinity.  </t>
    </r>
    <r>
      <rPr>
        <i/>
        <sz val="10"/>
        <rFont val="Arial Narrow"/>
        <family val="2"/>
      </rPr>
      <t>In calculations, the highest score is given for uniqueness judged at the 5 km scale.</t>
    </r>
  </si>
  <si>
    <r>
      <t xml:space="preserve">Dependency of herbaceous plant species on wetlands increases if no other herbaceous habitats are available in the vicinity.  </t>
    </r>
    <r>
      <rPr>
        <i/>
        <sz val="10"/>
        <rFont val="Arial Narrow"/>
        <family val="2"/>
      </rPr>
      <t>In calculations, the highest score is given for uniqueness judged at the 5 km scale.</t>
    </r>
  </si>
  <si>
    <r>
      <t xml:space="preserve">Dependency of woody plant species on a particular wooded wetland (and thus its importance) increases if no other wooded areas are available in the vicinity.  </t>
    </r>
    <r>
      <rPr>
        <i/>
        <sz val="10"/>
        <rFont val="Arial Narrow"/>
        <family val="2"/>
      </rPr>
      <t>In calculations, the highest score is given for uniqueness judged at the 5 km scale.</t>
    </r>
  </si>
  <si>
    <r>
      <t xml:space="preserve">Many wetland invertebrates reach their greatest density in ponded areas. That is partly because the isolation protects them from predation by fish that normally inhabit the channels (Hornung &amp; Foote 2006). Flowing water in channels favours different invertebrate assemblages, which when combined with the contribution of pools, adds to the overall diversity of the wetland. </t>
    </r>
    <r>
      <rPr>
        <i/>
        <sz val="10"/>
        <rFont val="Arial Narrow"/>
        <family val="2"/>
      </rPr>
      <t xml:space="preserve">In calculations, is excluded automatically (cell goes blank) if wetland never has surface water during an average year. </t>
    </r>
  </si>
  <si>
    <t>Because amphibians and reptiles do not physiologically regulate their body temperatures and some are at the northern limit of their range in this region, it can be assumed that they may favour warmer microhabitats overall. Wetlands fed by water from south-facing slopes would be expected to be warmer, but the possible effect on amphibians has not been widely tested.</t>
  </si>
  <si>
    <r>
      <t>Unshaded open water areas potentially provide warmer conditions favoured by many amphibians, while nearby areas with cover provide protection from predators.</t>
    </r>
    <r>
      <rPr>
        <i/>
        <sz val="10"/>
        <rFont val="Arial Narrow"/>
        <family val="2"/>
      </rPr>
      <t xml:space="preserve"> In calculations, is excluded automatically (cell goes blank) if wetland never has surface water during an average year, if no ponded water, if ponded water but no vegetation, if ponded but no open water.</t>
    </r>
  </si>
  <si>
    <r>
      <t xml:space="preserve">Wetlands with substantial groundwater inputs tend to have more stable and reliable water levels, thus increasing the likelihood of amphibians breeding successfully. Also, winter water temperatures are warmer than most receiving surface waters. However, the cooler temperatures in summer associated with groundwater input may be less favourable to development of some amphibians. </t>
    </r>
    <r>
      <rPr>
        <i/>
        <sz val="10"/>
        <rFont val="Arial Narrow"/>
        <family val="2"/>
      </rPr>
      <t>In calculations, is excluded automatically (cell goes blank) if no evidence of groundwater influx. Otherwise is rated based on response in column D.</t>
    </r>
  </si>
  <si>
    <t>Wetlands with maritime climate are more likely to have conditions favourable to feeding and wintering waterbirds in this region. Many migratory waterbirds in the Maritimes follow a coastal route.  Some non-tidal marshes (such as many dyked fields) that are within a few kilometers of tidal mudflats support large numbers of roosting migratory shorebirds.</t>
  </si>
  <si>
    <t>Wetland value is considered greater if it is part of an area recognised officially as being of outstanding importance to waterbirds. Such areas have been chosen through a systematic selection process by biologists and birders in this region and elsewhere.</t>
  </si>
  <si>
    <t>The total proportion of the land that is natural land cover, as well as its proximity, can affect songbird and mammal richness in wetlands. Wetlands that contain or are close to natural land cover, and not separated from that by roads that interfere with movements across the landscape, are more likely to support forest-dwelling species (Betts et al. 2007). In Ohio, migrant songbirds had the strongest positive correlation with natural land cover near streams when it was measured within ~250 m of streams, rather than in areas closer or farther. Some migrant songbirds were much less likely to occur where there were many buildings within that distance of streams (Pennington 2008). However, one study found that migrant bird abundance was statistically unrelated to either percent urbanised land or percent forest cover within 1 km.</t>
  </si>
  <si>
    <t>Negative consequences of drought are greatest in peatlands, where large stores of organic matter in soils can be volatilised. Being groundwater dependent, fens are also sensitive to water table changes. Mosses and woody vegetation (shrub and forested wetlands) require many years to fully re-establish if removed or killed, i.e., resilience is less than for herbaceous vegetation. As compared with wooded wetlands, moss wetlands and seasonal marshes receive more off-road vehicle traffic with consequent degradation of soil and vegetation (Loomis &amp; Lieberman 2006). Floodplain wetlands and marshes tend to be better buffered chemically than fens and especially bogs (Wood &amp; Rubec 1989, Wisheu &amp; Keddy 1994). Marshes tend to be more resilient partly because of their relatively high nutrient levels.  Fens in some regions tend to be less sensitive to invasion by non-native plants (Magee &amp; Kentula 2005), especially when shaded by a forest canopy. However, they are often highly sensitive to alteration of local water tables (Fitzgerald et al. 2003).</t>
  </si>
  <si>
    <t xml:space="preserve">Fences, observation blinds, platforms, paved trails, exclusion periods, and/or well-enforced prohibitions on motorised boats, off-leash pets, and off road vehicles appear to effectively exclude or divert visitors and their pets from the AA at critical times in order to minimize disturbance of wildlife (except during hunting seasons). Enter "1" if true. </t>
  </si>
  <si>
    <t>Shade from vegetation and other features is an important factor in cooling surface water and runoff before it reaches water bodies farther downstream (e.g., Rounds 2007). A study of many Seattle-area wetlands found that summertime temperatures ranged higher in wetlands that were characterised by relatively large open pools that lacked shade (Reinelt &amp; Horner 1990). In calculations, is excluded automatically (cell goes blank) if wetland never has surface water during an average year or if water is present only seasonally.</t>
  </si>
  <si>
    <t>Like a constricted outlet, vegetation and other obstacles create a "roughness" within a wetland that can slow the water and allow sediment particles to be deposited. This is much truer if the vegetation intercepts a large proportion of the flow during high-flow periods (i.e., is not merely along an upland edge that never floods). Although tall and stiff vegetation provides the most resistance and thus sedimentation, it often tends to have less ground cover, so the net effect is uncertain in some wetlands. Water takes longer to move through complex channel networks (e.g., braided or sinuous) which themselves provide additional friction, thus allowing more suspended sediment to be deposited. The sinuosity is as much the result of sedimentation-erosion dynamics as it is the cause of them. Wetlands with a sheet flow pattern often retain more suspended solids than channelised systems because interception and resistance is greater (Morris et al. 1981). In calculations, is excluded automatically (cell goes blank) if wetland never has surface water during an average year or if no surface inflows.</t>
  </si>
  <si>
    <t>Estimate the diameters at chest height.  If small-diameter trees are overtopped (shaded) by larger ones, visualise a "subcanopy" at the average height of the smaller-dbh trees, to serve as a basis for the minimum 5% canopy requirement in this question. The trees and shrubs need not be wetland species.  [AM, CS, POL, SBM, Sens, WBN]</t>
  </si>
  <si>
    <t>Water Cooling (WC)</t>
  </si>
  <si>
    <t>Sediment Retention &amp; Stabilisation (SR)</t>
  </si>
  <si>
    <t>Resident Fish Habitat (FR)</t>
  </si>
  <si>
    <t>The effectiveness for intercepting and filtering suspended inorganic sediments, thus allowing their deposition, as well as reducing energy of waves and currents, resisting excessive erosion, and stabilising underlying sediments or soil.</t>
  </si>
  <si>
    <t>If a plant cannot be identified to species (e.g., winter conditions) but its genus contains an exotic species, assume the unidentified plant to also be exotic. If vegetation is so senesced that exotic species cannot be identified, answer "none". [PH, STR]</t>
  </si>
  <si>
    <t>Site Name:</t>
  </si>
  <si>
    <t>Investigator Name:</t>
  </si>
  <si>
    <t>Date of Field Assessment:</t>
  </si>
  <si>
    <t>Nearest Town:</t>
  </si>
  <si>
    <t>Latitude (decimal degrees):</t>
  </si>
  <si>
    <t>Longitude (decimal degrees):</t>
  </si>
  <si>
    <t>AA as percent of entire wetland (approx.).  Attach sketch map if AA is smaller than the entire contiguous wetland.</t>
  </si>
  <si>
    <r>
      <t xml:space="preserve">What percent (approx.) of the </t>
    </r>
    <r>
      <rPr>
        <b/>
        <sz val="11"/>
        <rFont val="Arial"/>
        <family val="2"/>
      </rPr>
      <t>wetland</t>
    </r>
    <r>
      <rPr>
        <sz val="11"/>
        <rFont val="Arial"/>
        <family val="2"/>
      </rPr>
      <t xml:space="preserve"> were you </t>
    </r>
    <r>
      <rPr>
        <sz val="11"/>
        <rFont val="Arial"/>
        <family val="2"/>
      </rPr>
      <t>able to visit?</t>
    </r>
  </si>
  <si>
    <r>
      <t xml:space="preserve">What percent (approx.) of the </t>
    </r>
    <r>
      <rPr>
        <b/>
        <sz val="11"/>
        <rFont val="Arial"/>
        <family val="2"/>
      </rPr>
      <t xml:space="preserve">AA </t>
    </r>
    <r>
      <rPr>
        <sz val="11"/>
        <rFont val="Arial"/>
        <family val="2"/>
      </rPr>
      <t>were you able to visit?</t>
    </r>
  </si>
  <si>
    <t>Have you attended a WESP-AC training session?  If so, indicate approximate month &amp; year.</t>
  </si>
  <si>
    <t>How many wetlands have you assessed previously using WESP-AC? (approx.)</t>
  </si>
  <si>
    <t>Comments about the site or this WESP-AC assessment (attach extra page if desired):</t>
  </si>
  <si>
    <t>WETLAND CONDITION (EC)</t>
  </si>
  <si>
    <t>Function Rating</t>
  </si>
  <si>
    <t>Benefits Rating</t>
  </si>
  <si>
    <t>EC</t>
  </si>
  <si>
    <t xml:space="preserve">The effectiveness for producing and subsequently exporting organic nutrients, either particulate or dissolved, along with associated compounds and elements such as iron.
</t>
  </si>
  <si>
    <r>
      <t xml:space="preserve">IF((Access=0),0,
IF((AllSat1=0),0, </t>
    </r>
    <r>
      <rPr>
        <b/>
        <sz val="10"/>
        <rFont val="Arial Narrow"/>
        <family val="2"/>
      </rPr>
      <t>ELSE:</t>
    </r>
    <r>
      <rPr>
        <sz val="10"/>
        <rFont val="Arial Narrow"/>
        <family val="2"/>
      </rPr>
      <t xml:space="preserve">
(AVERAGE(Access, OutDura)) X (AVERAGE(HydroRegime, Structure, Productivity, LScape, Stress))
</t>
    </r>
  </si>
  <si>
    <t>Local Vegetated Cover Percentage</t>
  </si>
  <si>
    <t>TRANSITION HABITAT Group (max+avg/2 of SBM, PH, POL)</t>
  </si>
  <si>
    <t>WATER QUALITY SUPPORT Group (max+avg/2 of SR, PR, NR, CS)</t>
  </si>
  <si>
    <t>Follow the key below and mark the ONE row that best describes MOST of the AA:</t>
  </si>
  <si>
    <r>
      <rPr>
        <b/>
        <sz val="10"/>
        <rFont val="Arial Narrow"/>
        <family val="2"/>
      </rPr>
      <t>B</t>
    </r>
    <r>
      <rPr>
        <sz val="10"/>
        <rFont val="Arial Narrow"/>
        <family val="2"/>
      </rPr>
      <t xml:space="preserve">. Moss and/or lichen cover </t>
    </r>
    <r>
      <rPr>
        <b/>
        <sz val="10"/>
        <rFont val="Arial Narrow"/>
        <family val="2"/>
      </rPr>
      <t>less than 25%</t>
    </r>
    <r>
      <rPr>
        <sz val="10"/>
        <rFont val="Arial Narrow"/>
        <family val="2"/>
      </rPr>
      <t xml:space="preserve"> of the ground. Soil is mineral or decomposed organic (muck). Choose between B1 and B2 and mark the choice with a 1 in their adjoining column:</t>
    </r>
  </si>
  <si>
    <t>Follow the key below and mark the ONE row that best describes MOST of the vegetated part of the AA:</t>
  </si>
  <si>
    <t>Bogs have the deepest peat layers and thus more stored carbon than more fertile wetlands (fens) (Glenn et al. 2006). Methane emissions tend to be greater from fens, marshes, and other wetlands with water table near the ground surface for long periods (Liblik et al. 1997). Swamp soils may have greater releases of methane due to their greater diurnal fluctuations in water tables resulting from tree evapotranspiration. Methane emissions may be especially large from wetlands with emergent sedges (a common feature of fens) because they facilitate translocation of methane from sediments to the air (Hines et al. 2008).</t>
  </si>
  <si>
    <t>Many invertebrate groups (e.g., snails, isopods, lumbricid worms) cannot tolerate acidic conditions of bogs, and invertebrate richness generally tends to be greater in persistently inundated fens than in less persistently inundated marshes with more mineral soils (Holmquist et al. 2011). Marshes along lakes and rivers tend to have water longer into the growing season than other marshes and can support high abundance and diversity of invertebrates. One study reported that bogs and fens did not differ significantly with regard to invertebrate faunas. Dragonflies seemed to respond to the habitat's form and structure more than to its acidity or nutrient levels (Cannings &amp; Cannings 1994)</t>
  </si>
  <si>
    <t>Marshes and fens are most likely to provide favored breeding habitat (e.g., Houlahan &amp; Findlay 2003) andt many swamps contain important vernal breeding pools as well as providing excellent cover for dispersing adults.  Some swamps in floodplains, however, have water levels that are too dynamic to support breeding by some amphibian speces.</t>
  </si>
  <si>
    <t>Most feeding waterbirds are naturally drawn to more productive wetlands, which tend to be marshes, especially those along rivers and lakes (Thormann &amp; Bayley 1997, Epners et al. 2010).  A lack of surface water in bogs and swamps makes them less suitable for most waterbirds.</t>
  </si>
  <si>
    <t>Waterbirds (e.g., black duck, Staicer et al. 1994) raise young most successfully in more productive wetlands, which tend to be marshes along rivers and lakes. However, many fens that contain ponded open water also are heavily used by some nesting waterbird species.</t>
  </si>
  <si>
    <t>AVERAGE (Nfix, SoilTex, Karst, GDD)</t>
  </si>
  <si>
    <r>
      <rPr>
        <b/>
        <sz val="10"/>
        <rFont val="Arial Narrow"/>
        <family val="2"/>
      </rPr>
      <t>A1</t>
    </r>
    <r>
      <rPr>
        <sz val="10"/>
        <rFont val="Arial Narrow"/>
        <family val="2"/>
      </rPr>
      <t>. The two height classes are mostly scattered and intermixed throughout the AA.</t>
    </r>
  </si>
  <si>
    <r>
      <rPr>
        <b/>
        <sz val="10"/>
        <rFont val="Arial Narrow"/>
        <family val="2"/>
      </rPr>
      <t>A2.</t>
    </r>
    <r>
      <rPr>
        <sz val="10"/>
        <rFont val="Arial Narrow"/>
        <family val="2"/>
      </rPr>
      <t xml:space="preserve"> Not A1.  The two height classes are mostly in separate zones or bands, or in proportionately large clumps.</t>
    </r>
  </si>
  <si>
    <r>
      <rPr>
        <b/>
        <sz val="10"/>
        <rFont val="Arial Narrow"/>
        <family val="2"/>
      </rPr>
      <t>B.</t>
    </r>
    <r>
      <rPr>
        <sz val="10"/>
        <rFont val="Arial Narrow"/>
        <family val="2"/>
      </rPr>
      <t xml:space="preserve"> Either the vegetation shorter than 1 m comprises</t>
    </r>
    <r>
      <rPr>
        <b/>
        <sz val="10"/>
        <rFont val="Arial Narrow"/>
        <family val="2"/>
      </rPr>
      <t xml:space="preserve"> &gt;70% </t>
    </r>
    <r>
      <rPr>
        <sz val="10"/>
        <rFont val="Arial Narrow"/>
        <family val="2"/>
      </rPr>
      <t>of the vegetated part of the AA, or the vegetation taller than that does.  One size class might even be totally absent.  Choose between B1 and B2 and mark the choice with a 1 in the adjoining column:</t>
    </r>
  </si>
  <si>
    <r>
      <rPr>
        <b/>
        <sz val="10"/>
        <rFont val="Arial Narrow"/>
        <family val="2"/>
      </rPr>
      <t>B1</t>
    </r>
    <r>
      <rPr>
        <sz val="10"/>
        <rFont val="Arial Narrow"/>
        <family val="2"/>
      </rPr>
      <t>. The less prevalent height class is mostly scattered and intermixed within the prevalent one.</t>
    </r>
  </si>
  <si>
    <r>
      <rPr>
        <b/>
        <sz val="10"/>
        <rFont val="Arial Narrow"/>
        <family val="2"/>
      </rPr>
      <t>B2.</t>
    </r>
    <r>
      <rPr>
        <sz val="10"/>
        <rFont val="Arial Narrow"/>
        <family val="2"/>
      </rPr>
      <t xml:space="preserve"> Not B1.  The less prevalent height class is mostly located apart from the prevalent one, in separate zones or clumps, or is completely absent.</t>
    </r>
  </si>
  <si>
    <t xml:space="preserve"> [AM, INV, NR, PH, SBM, Sens]</t>
  </si>
  <si>
    <r>
      <t xml:space="preserve">During most of the part of the growing season when water is present, the percentage of the AA's </t>
    </r>
    <r>
      <rPr>
        <b/>
        <sz val="10"/>
        <rFont val="Arial Narrow"/>
        <family val="2"/>
      </rPr>
      <t>water edge</t>
    </r>
    <r>
      <rPr>
        <sz val="10"/>
        <rFont val="Arial Narrow"/>
        <family val="2"/>
      </rPr>
      <t xml:space="preserve"> length that is </t>
    </r>
    <r>
      <rPr>
        <b/>
        <sz val="10"/>
        <rFont val="Arial Narrow"/>
        <family val="2"/>
      </rPr>
      <t>nearly flat</t>
    </r>
    <r>
      <rPr>
        <sz val="10"/>
        <rFont val="Arial Narrow"/>
        <family val="2"/>
      </rPr>
      <t xml:space="preserve"> (a slope less than about 5% measured within 5 m landward of the water) is:</t>
    </r>
  </si>
  <si>
    <r>
      <rPr>
        <b/>
        <sz val="10"/>
        <rFont val="Arial Narrow"/>
        <family val="2"/>
      </rPr>
      <t xml:space="preserve">Emergent vegetation </t>
    </r>
    <r>
      <rPr>
        <sz val="10"/>
        <rFont val="Arial Narrow"/>
        <family val="2"/>
      </rPr>
      <t>is herbaceous plants whose stems are partly above and partly below the water surface during most of the time water is present. [WBN]</t>
    </r>
  </si>
  <si>
    <t>Interspersion of Emergents &amp; Open Water</t>
  </si>
  <si>
    <r>
      <t xml:space="preserve">During most of the growing season and in waters deeper than 0.5 m, the cover for fish, aquatic invertebrates, and/or amphibians that is provided NOT by living vegetation, but by accumulations of </t>
    </r>
    <r>
      <rPr>
        <b/>
        <sz val="10"/>
        <rFont val="Arial Narrow"/>
        <family val="2"/>
      </rPr>
      <t>dead wood and undercut banks</t>
    </r>
    <r>
      <rPr>
        <sz val="10"/>
        <rFont val="Arial Narrow"/>
        <family val="2"/>
      </rPr>
      <t xml:space="preserve"> is:</t>
    </r>
  </si>
  <si>
    <r>
      <t xml:space="preserve">The AA contains (or is part of) an island or beaver lodge within a lake, pond, or river, and is isolated from the shore </t>
    </r>
    <r>
      <rPr>
        <b/>
        <sz val="10"/>
        <rFont val="Arial Narrow"/>
        <family val="2"/>
      </rPr>
      <t>by water depths &gt;1 m</t>
    </r>
    <r>
      <rPr>
        <sz val="10"/>
        <rFont val="Arial Narrow"/>
        <family val="2"/>
      </rPr>
      <t xml:space="preserve"> on all sides during an average June. The island may be solid, or it may be a floating vegetation mat that is sufficiently large and dense to support a waterbird nest.</t>
    </r>
  </si>
  <si>
    <t>New or Expanded Wetland</t>
  </si>
  <si>
    <t>AVERAGE(SoilDisturb, MossCov, Wettype, Burn, SoilTex, AVERAGE(Warmth, DecidPct, DecidTree, Width, NewWetland))</t>
  </si>
  <si>
    <t>AVERAGE [MAX(CalcFen, Conduc, Acidic), Inflow, AVERAGE (Interspers, Fluc, SeasWpct, Groundw, Depth)]</t>
  </si>
  <si>
    <t xml:space="preserve"> [AM, FA, FR, INV, NRv, PH, POL, PRv, SBM, Sens, SRv, STR, WBN]</t>
  </si>
  <si>
    <t>Were you able to ask the site owner/manager about any of the questions?</t>
  </si>
  <si>
    <t>Is a map based on a formal on-site wetland delineation available?</t>
  </si>
  <si>
    <t>Province</t>
  </si>
  <si>
    <t>See above for measurement guidance. [FR, INV, NRv, PH, PRv, Sens]</t>
  </si>
  <si>
    <t>coniferous or ericaceous shrubs or trees 1-3 m tall not directly below the canopy of trees.</t>
  </si>
  <si>
    <t>deciduous shrubs or trees 1-3 m tall not directly below the canopy of trees.</t>
  </si>
  <si>
    <t>coniferous or ericaceous shrubs &lt;1 m tall not directly below the canopy of taller vegetation.</t>
  </si>
  <si>
    <t>1-25% of the vegetated cover, in the AA or along its water edge (whichever has more).</t>
  </si>
  <si>
    <t>25-50% of the vegetated cover, in the AA or along its water edge (whichever has more).</t>
  </si>
  <si>
    <t>50-75% of the vegetated cover, in the AA or along its water edge (whichever has more).</t>
  </si>
  <si>
    <t>&gt;75% of the vegetated cover, in the AA or along its water edge (whichever has more).</t>
  </si>
  <si>
    <r>
      <t>The number of large snags (</t>
    </r>
    <r>
      <rPr>
        <b/>
        <sz val="10"/>
        <rFont val="Arial Narrow"/>
        <family val="2"/>
      </rPr>
      <t>diameter &gt;20 cm</t>
    </r>
    <r>
      <rPr>
        <sz val="10"/>
        <rFont val="Arial Narrow"/>
        <family val="2"/>
      </rPr>
      <t>) in the AA plus adjacent upland area within 10 m of the wetland edge is:</t>
    </r>
  </si>
  <si>
    <r>
      <t xml:space="preserve">The cover of </t>
    </r>
    <r>
      <rPr>
        <b/>
        <sz val="10"/>
        <rFont val="Arial Narrow"/>
        <family val="2"/>
      </rPr>
      <t>Sphagnum</t>
    </r>
    <r>
      <rPr>
        <sz val="10"/>
        <rFont val="Arial Narrow"/>
        <family val="2"/>
      </rPr>
      <t xml:space="preserve"> moss (or any moss that forms a dense cushion many centimeters thick), including the moss obscured by taller sedges and other plants rooted in it, is:</t>
    </r>
  </si>
  <si>
    <t>Few or none (minimal microtopography; &lt;1% of the land has such features, or entire AA is always water-covered).</t>
  </si>
  <si>
    <t>Invasive Plant Cover</t>
  </si>
  <si>
    <t>invasive species are present in more than trace amounts, but comprise &lt;5% of herbaceous cover (or woody cover, if the invasives are woody).</t>
  </si>
  <si>
    <t>invasive species comprise 5-20% of the herb cover (or woody cover, if the invasives are woody).</t>
  </si>
  <si>
    <t>invasive species comprise 20-50% of the herb cover  (or woody cover, if the invasives are woody).</t>
  </si>
  <si>
    <t>invasive species comprise &gt;50% of the herb cover  (or woody cover, if the invasives are woody).</t>
  </si>
  <si>
    <t>invasive species appear to be absent in the AA, or are present only in trace amount (a few individuals).</t>
  </si>
  <si>
    <t>How extensive is the cover of invasive plant species in the AA?  For species, see Plants_invasive worksheet in the accompanying SuppInfo file.</t>
  </si>
  <si>
    <t>Invasive Cover Along Upland Edge</t>
  </si>
  <si>
    <t xml:space="preserve">Springs are known to be present within the AA, or if groundwater levels have been monitored, that has demonstrated that groundwater primarily discharges to the wetland for longer periods during the year than periods when the wetland recharges the groundwater. 
</t>
  </si>
  <si>
    <t>50-95%, with or without inhabited building nearby.</t>
  </si>
  <si>
    <t>&gt;95% of the AA with or without inhabited building nearby.</t>
  </si>
  <si>
    <t>Wetland as a % of Its Contributing Area (Catchment)</t>
  </si>
  <si>
    <t>&lt;0.01, or catchment size unknown due to stormwater pipes that collect water from an indeterminate area.</t>
  </si>
  <si>
    <t>Tall robust vegetation provides better nesting cover than does shorter vegetation.</t>
  </si>
  <si>
    <t>EmRobust13</t>
  </si>
  <si>
    <t>AVERAGE(AltTime, SedCA, SoilDisturb)</t>
  </si>
  <si>
    <t>The AA has no upland edge (or upland is &lt;1% of perimeter). The AA is entirely surrounded by (&amp; contiguous with) other wetlands or water.</t>
  </si>
  <si>
    <t xml:space="preserve">Nitrate Removal &amp; Retention </t>
  </si>
  <si>
    <t>Public Use &amp; Recognition</t>
  </si>
  <si>
    <t>Aberrant Timing of Water Inputs</t>
  </si>
  <si>
    <t>AVERAGE(AltTiming, Constricted)</t>
  </si>
  <si>
    <t>AVERAGE(WoodHerbMix, WoodDown, ShrubSun, Gcover, Girreg, Inclus, WetTypeDiv)</t>
  </si>
  <si>
    <t xml:space="preserve">Larger wetlands in this region are used disproportionately by nesting waterbirds (Gibbs et al. 1991, Stevens et al. 2003). Smaller identical wetlands of equal cumulative area probably support lower numbers and cumulative richness of feeding waterbirds, unless they are close together in a complex. Larger areas also are preferred by many waterbird species as roosting or molting sites, because they provide greater buffer against predators. Larger wetlands also are more likely to have productive fish populations, and may be sufficiently long for some waterbird species (e.g., cormorants, loons) that require lengthy areas when taking flight. </t>
  </si>
  <si>
    <t xml:space="preserve">Road corridors are often followed by ravens and mammals that prey on waterbird eggs and young, and fledglings are vulnerable to collisions with vehicles. </t>
  </si>
  <si>
    <r>
      <t>Wetlands fed constantly by groundwater are likely to have only limited subsurface storage space for storing additional precipitation. However, they may remain unfrozen for longer periods.</t>
    </r>
    <r>
      <rPr>
        <i/>
        <sz val="10"/>
        <rFont val="Arial Narrow"/>
        <family val="2"/>
      </rPr>
      <t xml:space="preserve"> In calculations, is excluded automatically (cell goes blank) if no strong evidence of groundwater (last choice).</t>
    </r>
  </si>
  <si>
    <t>Water Storage &amp; Delay</t>
  </si>
  <si>
    <r>
      <t xml:space="preserve">As a wetland's surface water area expands seasonally, water velocity is often reduced due to increased friction, and material suspended in the expanding water body is more likely to be deposited. </t>
    </r>
    <r>
      <rPr>
        <i/>
        <sz val="10"/>
        <rFont val="Arial Narrow"/>
        <family val="2"/>
      </rPr>
      <t xml:space="preserve">In calculations, is excluded automatically (cell goes blank) if wetland never has surface water during an average year. </t>
    </r>
  </si>
  <si>
    <r>
      <t xml:space="preserve">Fixed carbon tends to cycle more rapidly in deciduous plant litter, thus supporting less sequestration. </t>
    </r>
    <r>
      <rPr>
        <i/>
        <sz val="10"/>
        <rFont val="Arial Narrow"/>
        <family val="2"/>
      </rPr>
      <t>In calculations, is excluded automatically (cell goes blank) if woody vegetation is absent. Otherwise, score is the reciprocal of the maximum deciduous cover among the 3 height classes, adjusted to a 0-1 scale.</t>
    </r>
  </si>
  <si>
    <r>
      <t xml:space="preserve">On a per-surface-area basis, deciduous trees and shrubs often support higher levels of insect biomass than conifers, at least among nocturnal flying insects (Ober and Hayes 2008). </t>
    </r>
    <r>
      <rPr>
        <i/>
        <sz val="10"/>
        <rFont val="Arial Narrow"/>
        <family val="2"/>
      </rPr>
      <t>In calculations, is excluded automatically (cell goes blank) if few or no trees in the wetland. Score is based on the maximum cover of any of the 3 woody deciduous height classes, adjusted to the 0-1 scale.</t>
    </r>
  </si>
  <si>
    <t>Wetland Sensitivity</t>
  </si>
  <si>
    <t>Indicate here if you intentionally surveyed for rare plants, calciphile plants, or rare animals:</t>
  </si>
  <si>
    <t>OF20</t>
  </si>
  <si>
    <t>Although not applicable to all nesting waterbird species in this region, the models that predict suitable nesting habitat for black duck are likely to identify and map areas suitable for many. Black duck is a species that has declined in much of its historical range.</t>
  </si>
  <si>
    <t xml:space="preserve">Cliffs or Steep Banks </t>
  </si>
  <si>
    <r>
      <t xml:space="preserve">those species together do </t>
    </r>
    <r>
      <rPr>
        <b/>
        <sz val="10"/>
        <rFont val="Arial Narrow"/>
        <family val="2"/>
      </rPr>
      <t xml:space="preserve">not </t>
    </r>
    <r>
      <rPr>
        <sz val="10"/>
        <rFont val="Arial Narrow"/>
        <family val="2"/>
      </rPr>
      <t>comprise &gt; 50% of such cover.</t>
    </r>
  </si>
  <si>
    <r>
      <t xml:space="preserve">those species together comprise </t>
    </r>
    <r>
      <rPr>
        <b/>
        <sz val="10"/>
        <rFont val="Arial Narrow"/>
        <family val="2"/>
      </rPr>
      <t>&gt; 50%</t>
    </r>
    <r>
      <rPr>
        <sz val="10"/>
        <rFont val="Arial Narrow"/>
        <family val="2"/>
      </rPr>
      <t xml:space="preserve"> of such cover.</t>
    </r>
  </si>
  <si>
    <r>
      <t xml:space="preserve">If the deepest patch of surface water (flowing or ponded) in or directly adjacent to the AA is mostly deeper than 0.5 m for &gt;2 weeks during the growing season, enter "1" and continue. If not, enter "0" and </t>
    </r>
    <r>
      <rPr>
        <b/>
        <sz val="10"/>
        <rFont val="Arial Narrow"/>
        <family val="2"/>
      </rPr>
      <t>SKIP to F42</t>
    </r>
    <r>
      <rPr>
        <sz val="10"/>
        <rFont val="Arial Narrow"/>
        <family val="2"/>
      </rPr>
      <t>.(Connection).</t>
    </r>
  </si>
  <si>
    <t>DeepPersis</t>
  </si>
  <si>
    <r>
      <t>Within a zone extending 30 m laterally from the AA's edge with upland and/or other wetlands, the percentage that contains</t>
    </r>
    <r>
      <rPr>
        <b/>
        <sz val="10"/>
        <rFont val="Arial Narrow"/>
        <family val="2"/>
      </rPr>
      <t xml:space="preserve"> perennial vegetation cover </t>
    </r>
    <r>
      <rPr>
        <sz val="10"/>
        <rFont val="Arial Narrow"/>
        <family val="2"/>
      </rPr>
      <t>(except lawns, row crops, heavily grazed land, conifer plantations) is:</t>
    </r>
  </si>
  <si>
    <t>AVERAGE(MossCov, Sedge, SeasPct, Fluctu, Groundw, TreeForm, PermWpct)</t>
  </si>
  <si>
    <t>MAX(ToxData, ToxUp, AVERAGE(Inflo, SatPct, AVERAGE(ImpervPctSS, ErodibleSS, CAnatPct, BuffSlope, CApct, TransportSS, MaxFluc)</t>
  </si>
  <si>
    <t>[MAX(Pload, PsampUp, PsampDown, AVERAGE((Inflo, AVERAGE(BuffSlope, CApct, Transport, Groundw, ImpervCA, NatCApct))</t>
  </si>
  <si>
    <t xml:space="preserve">Score for Wetland Ecological Condition (Integrity)  </t>
  </si>
  <si>
    <t>CApct1</t>
  </si>
  <si>
    <t>Aspect1</t>
  </si>
  <si>
    <t>Girreg1</t>
  </si>
  <si>
    <t>WBN</t>
  </si>
  <si>
    <r>
      <rPr>
        <b/>
        <sz val="10"/>
        <rFont val="Arial Narrow"/>
        <family val="2"/>
      </rPr>
      <t>B1.</t>
    </r>
    <r>
      <rPr>
        <sz val="10"/>
        <rFont val="Arial Narrow"/>
        <family val="2"/>
      </rPr>
      <t xml:space="preserve"> Trees and shrubs taller than 1 m comprise </t>
    </r>
    <r>
      <rPr>
        <b/>
        <sz val="10"/>
        <rFont val="Arial Narrow"/>
        <family val="2"/>
      </rPr>
      <t>more than</t>
    </r>
    <r>
      <rPr>
        <sz val="10"/>
        <rFont val="Arial Narrow"/>
        <family val="2"/>
      </rPr>
      <t xml:space="preserve"> 25% of the vegetated cover. Surface water is mostly absent or inundates the vegetation only seasonally (e.g., vernal pools or floodplain).</t>
    </r>
  </si>
  <si>
    <r>
      <rPr>
        <b/>
        <sz val="10"/>
        <rFont val="Arial Narrow"/>
        <family val="2"/>
      </rPr>
      <t xml:space="preserve">B2. </t>
    </r>
    <r>
      <rPr>
        <sz val="10"/>
        <rFont val="Arial Narrow"/>
        <family val="2"/>
      </rPr>
      <t xml:space="preserve">Not B1.  Tree &amp; tall shrubs comprise </t>
    </r>
    <r>
      <rPr>
        <b/>
        <sz val="10"/>
        <rFont val="Arial Narrow"/>
        <family val="2"/>
      </rPr>
      <t>less than</t>
    </r>
    <r>
      <rPr>
        <sz val="10"/>
        <rFont val="Arial Narrow"/>
        <family val="2"/>
      </rPr>
      <t xml:space="preserve"> than 25% of the vegetated cover.  Vegetation is mostly herbaceous, e.g., cattail, bulrush, burreed, pond lily, horsetail. Surface water may be extensive and fluctuates seasonally, being either persistent or drying up partly or entirely.</t>
    </r>
  </si>
  <si>
    <t>Dependency of amphibians on a wetland (and thus its importance) increases if no other wetlands or ponds are in the vicinity.</t>
  </si>
  <si>
    <t>DistPond10</t>
  </si>
  <si>
    <t>IF((RareHerp=1),1, ELSE:  AVERAGE(WBFscore, MAX(HerbUniq, WoodyUniq, DistPond), SBMscore)</t>
  </si>
  <si>
    <t>DistPond12</t>
  </si>
  <si>
    <t xml:space="preserve">Dependency of waterbirds on a particular wetland (and thus its importance) increases if no other wetlands or ponds are available in the vicinity. </t>
  </si>
  <si>
    <t>AVERAGE[Interspers, AVERAGE(ABpct, EmPct), AreaTotal]</t>
  </si>
  <si>
    <t>DistPond13</t>
  </si>
  <si>
    <t xml:space="preserve">Dependency of nesting waterbirds on a particular wetland (and thus its importance) increases if no other wetlands or ponds are available in the vicinity. </t>
  </si>
  <si>
    <t>AVERAGE[(Interspers, AVERAGE(EmPct, EmRobust, SizeHerbac, Vwidth, AqPlantCov, Snags)]</t>
  </si>
  <si>
    <t>DistPond14</t>
  </si>
  <si>
    <t xml:space="preserve">Dependency of wetland-associated songbirds, raptors, and mammals on a particular wetland (and thus its importance) increases if no other wetlands or ponds are available in the vicinity. </t>
  </si>
  <si>
    <r>
      <t xml:space="preserve">Because different wetland types are likely to support different species and/or many of those species may use complementary wetland types nearby for part of their life cycle, the presence of contrasting wetland types is likely to help support a diverse assemblage of songbird and raptor species in any one of the wetlands. </t>
    </r>
    <r>
      <rPr>
        <i/>
        <sz val="10"/>
        <rFont val="Arial Narrow"/>
        <family val="2"/>
      </rPr>
      <t xml:space="preserve"> In calculations, the indicator score is the sum of the nearby types divided by 3.</t>
    </r>
  </si>
  <si>
    <r>
      <t xml:space="preserve">Because different wetland types are likely to support different species and/or many of those species may use complementary wetland types nearby for part of their life cycle, the presence of contrasting wetland types is likely to help support a diverse assemblage of amphibian species in any one of the wetlands. </t>
    </r>
    <r>
      <rPr>
        <i/>
        <sz val="10"/>
        <rFont val="Arial Narrow"/>
        <family val="2"/>
      </rPr>
      <t xml:space="preserve"> In calculations, the indicator score is the sum of the nearby types divided by 3.</t>
    </r>
  </si>
  <si>
    <r>
      <t xml:space="preserve">Because different wetland types are likely to support different species and/or many of those species may use complementary wetland types nearby for part of their life cycle, the presence of contrasting wetland types is likely to help support a diverse assemblage of feeding waterbird species in any one of the wetlands. </t>
    </r>
    <r>
      <rPr>
        <i/>
        <sz val="10"/>
        <rFont val="Arial Narrow"/>
        <family val="2"/>
      </rPr>
      <t xml:space="preserve"> In calculations, the indicator score is the sum of the nearby types divided by 3.</t>
    </r>
  </si>
  <si>
    <r>
      <t xml:space="preserve">Because different wetland types are likely to support different species assemblages and many of those species may require complementary wetland types nearby for part of their life cycle, the presence of contrasting wetland types is likely to help support a diverse assemblage in any one of the wetlands. </t>
    </r>
    <r>
      <rPr>
        <i/>
        <sz val="10"/>
        <rFont val="Arial Narrow"/>
        <family val="2"/>
      </rPr>
      <t xml:space="preserve"> In calculations, the indicator score is the sum of the nearby types divided by 3.</t>
    </r>
  </si>
  <si>
    <t>The overland flow direction of most surface water (in streams, rivers, or runoff) that enters the AA is:</t>
  </si>
  <si>
    <t xml:space="preserve">Although urbanization typically reduces the diversity of plants in the forest understory, plant community composition in a Wisconsin study was better explained by the amount of surrounding forest than by environmental factors within the studied forests (Rogers et al. 2009).  A leveling off of the plant species-area accumulation curve in Alberta forests appeared at a forest patch size of about 10 ha (Gignac &amp; Dale 2007). A study in Washington found that forest patches as small as 1 ha, if not narrow, may be large enough to have a microclimate supportive of most plants and animals (Heithecker &amp; Halperin 2007). Depending on their shape, forest patches sised about 4 ha or larger may provide habitat capable of sustaining a diverse array of bryophyte functional groups in temperate rainforest landscapes (Baldwin &amp; Bradfield 2007). </t>
  </si>
  <si>
    <t>AVERAGE [ OutDura X AVERAGE(SatPct, CUratio, IsoDry, Depth, Constric), AVERAGE(BuffSlope, SoilTex, Beaver) ]</t>
  </si>
  <si>
    <t>NoCA</t>
  </si>
  <si>
    <t>Important Bird Area (IBA)</t>
  </si>
  <si>
    <t>NoHerbCov</t>
  </si>
  <si>
    <t>AllForbCov</t>
  </si>
  <si>
    <t>AllSat2</t>
  </si>
  <si>
    <t>AllSat1</t>
  </si>
  <si>
    <t>NoPersis</t>
  </si>
  <si>
    <t>AllWet</t>
  </si>
  <si>
    <t>NoSeasonal</t>
  </si>
  <si>
    <t>TooSmall</t>
  </si>
  <si>
    <t>NoPonded</t>
  </si>
  <si>
    <t>OpenW</t>
  </si>
  <si>
    <t>NoOpenPonded</t>
  </si>
  <si>
    <t>NoOpenPonded1</t>
  </si>
  <si>
    <t>AllOpenPond</t>
  </si>
  <si>
    <t>NoRobustEm</t>
  </si>
  <si>
    <t>OutNone1</t>
  </si>
  <si>
    <t>Outnone</t>
  </si>
  <si>
    <t>Inflows</t>
  </si>
  <si>
    <t>TooSteep</t>
  </si>
  <si>
    <t>BuffAllNat</t>
  </si>
  <si>
    <t>(MAX(RareAll, EmSens) + AVERAGE(HerbDom, GirregCQ, OverRich, BareGpct))/ 2</t>
  </si>
  <si>
    <t>InvasDom1</t>
  </si>
  <si>
    <r>
      <t xml:space="preserve">IF((InvasDom1=1), 0, </t>
    </r>
    <r>
      <rPr>
        <b/>
        <sz val="10"/>
        <rFont val="Arial Narrow"/>
        <family val="2"/>
      </rPr>
      <t>ELSE</t>
    </r>
    <r>
      <rPr>
        <sz val="10"/>
        <rFont val="Arial Narrow"/>
        <family val="2"/>
      </rPr>
      <t>: (4*SppArea + 3*CompetPD + 2*AqFertilPD + 2*TerrFertilPD + LscapePD + StressPD)/13)</t>
    </r>
  </si>
  <si>
    <r>
      <t xml:space="preserve">IF((RarePlant=1),1, </t>
    </r>
    <r>
      <rPr>
        <b/>
        <sz val="10"/>
        <rFont val="Arial Narrow"/>
        <family val="2"/>
      </rPr>
      <t>ELSE</t>
    </r>
    <r>
      <rPr>
        <sz val="10"/>
        <rFont val="Arial Narrow"/>
        <family val="2"/>
      </rPr>
      <t>: AVERAGE(SBMscore, MAX(HerbUniq, WoodyUniq), ScorePOL)</t>
    </r>
  </si>
  <si>
    <t>Marsh</t>
  </si>
  <si>
    <t>Fen_</t>
  </si>
  <si>
    <t>AVERAGE(Fluctu, SatPct, PermWpct, ISOwet)</t>
  </si>
  <si>
    <t>_GDD11</t>
  </si>
  <si>
    <t>AVERAGE [(Wettype, Hydro, AVERAGE(AqStruc, TerrStruc, Produc, Lscape, Waterscape, Stress)]</t>
  </si>
  <si>
    <t>Alberti, M., D. Booth, K. Hill, B. Coburn, C. Avolio, S. Coe, and D. Spirandelli. 2007. The impact of urban patterns on aquatic ecosystems: An empirical analysis in Puget Lowland sub-basins. Landscape and Urban Planning 80:345-361.</t>
  </si>
  <si>
    <t>Dillaha, T. A., R. B. Reneau, S. Mostaghimi, and D. Lee. 1989. Vegetative filter strips for agricultural nonpoint source pollution-control. Transactions of the ASAE 32:513-519.</t>
  </si>
  <si>
    <t>Subsurface Storage (Infiltration Capacity &amp; ET)</t>
  </si>
  <si>
    <t>[3*AVERAGE(SoilTex, Groundw, CApct) + AVERAGE(GDD, Aspect)] /4</t>
  </si>
  <si>
    <r>
      <t xml:space="preserve">IF((AllSat1=1), AVERAGE [(OutDura, AVERAGE(Subsurface, Friction)],
</t>
    </r>
    <r>
      <rPr>
        <b/>
        <sz val="10"/>
        <rFont val="Arial Narrow"/>
        <family val="2"/>
      </rPr>
      <t>ELSE</t>
    </r>
    <r>
      <rPr>
        <sz val="10"/>
        <rFont val="Arial Narrow"/>
        <family val="2"/>
      </rPr>
      <t>: AVERAGE [OutDura, (4*LiveStore + 2*Friction + Subsurf)/7)) ]</t>
    </r>
  </si>
  <si>
    <t>Surface Storage</t>
  </si>
  <si>
    <t>OutDur * [(2*GroundwaterInput + SurfaceStorage)/ 3]</t>
  </si>
  <si>
    <t>Larger ponded areas are preferred by swans, loons, grebes, cormorants, and some other waterbird species. That is because they provide greater buffer against predators, are more likely to have productive fish populations, and are sufficiently long for waterbird species that cannot take flight by leaping directly upward.</t>
  </si>
  <si>
    <r>
      <t xml:space="preserve">If the AA is smaller than 1 ha, mark all </t>
    </r>
    <r>
      <rPr>
        <b/>
        <sz val="10"/>
        <rFont val="Arial Narrow"/>
        <family val="2"/>
      </rPr>
      <t>other</t>
    </r>
    <r>
      <rPr>
        <sz val="10"/>
        <rFont val="Arial Narrow"/>
        <family val="2"/>
      </rPr>
      <t xml:space="preserve"> types that occupy more than 1% of the vegetated AA.  If the AA is larger than 1 ha, mark all other types which are within or adjacent to the AA and occupy more than 1 ha, as visible from the AA or as interpreted from aerial imagery.  Do not mark again the type marked in F1.</t>
    </r>
  </si>
  <si>
    <t>deciduous shrubs or trees &lt;1 m tall (e.g., deciduous seedlings) not directly below the canopy of taller vegetation.</t>
  </si>
  <si>
    <t>The percentage of the AA's vegetated cover that contains nitrogen-fixing plants (e.g., alder, sweetgale, clover, lupine, alfalfa, other legumes) is:</t>
  </si>
  <si>
    <t>Along the wetland-upland boundary, the percent of the upland edge (within 3 m upslope from the wetland) that is occupied by invasive plant species is:</t>
  </si>
  <si>
    <t>none of the upland edge (invasives apparently absent), or AA has no upland edge.</t>
  </si>
  <si>
    <t>Within 30 m upslope of where the wetland transitions to upland, the upland land cover that is NOT perennial vegetation is mostly (mark ONE):</t>
  </si>
  <si>
    <t>In the AA or within 100 m, there are elevated terrestrial features such as cliffs, talus slopes, stream banks, or excavated pits (but not riprap) that extend at least 2 m nearly vertically, are unvegetated, and potentially contain crevices or other substrate suitable for nesting or den areas. Enter 1 (yes) or 0 (no).</t>
  </si>
  <si>
    <t>Cell Name</t>
  </si>
  <si>
    <t>Comments</t>
  </si>
  <si>
    <t>For this question, include ferns as well as graminoids and forbs. [EC, INV, PH, POL, Sens]</t>
  </si>
  <si>
    <r>
      <t xml:space="preserve">IF((AllSat1=1), AVERAGE(IntercepDry, Adsorb, FreezeDura), IF((NoOut=1), 1, </t>
    </r>
    <r>
      <rPr>
        <b/>
        <sz val="10"/>
        <rFont val="Arial Narrow"/>
        <family val="2"/>
      </rPr>
      <t>ELSE</t>
    </r>
    <r>
      <rPr>
        <sz val="10"/>
        <rFont val="Arial Narrow"/>
        <family val="2"/>
      </rPr>
      <t>:  (3*AVERAGE(Adsorption, Desorption) + 2*Connectivity+ (AVERAGE(InterceptWet, InterceptDry) + FreezeDuration) / 7</t>
    </r>
  </si>
  <si>
    <t xml:space="preserve"> Sediment  Retention &amp; Stabilisation</t>
  </si>
  <si>
    <t>Benefit             Indicators</t>
  </si>
  <si>
    <t>Higher levels of P are commonly associated with higher levels of conductivity and TDS.  Higher P concentrations indicate more opportunity for the wetland to retain P, thus making its provision of this service more valuable to downstream waters.  In calculations, is assigned score of 1 if TDS&gt;300 mg/L or conductivity is &gt;200 µS/cm or if plants indicate highly saline conditions.  In calculations, is excluded automatically (cell goes blank and ignored in model calculations) if not measured or lower levels are present.</t>
  </si>
  <si>
    <t>Organic             Nutrient              Export</t>
  </si>
  <si>
    <t>Benefit          Indicators</t>
  </si>
  <si>
    <t>Resident           Fish                  Habitat</t>
  </si>
  <si>
    <t>Benefit                 Indicators</t>
  </si>
  <si>
    <t>Waterbird    Feeding      Habitat</t>
  </si>
  <si>
    <t>Songbird,     Raptor, &amp;        Mammal Habitat</t>
  </si>
  <si>
    <t>Pollinator     Habitat</t>
  </si>
  <si>
    <t xml:space="preserve">                                                                    Abiotic Resistance/ Sensitivity</t>
  </si>
  <si>
    <t xml:space="preserve">                                                                           Biotic Resistance/ Sensitivity</t>
  </si>
  <si>
    <t xml:space="preserve">                                                                 Resilience/ Recovery Duration - Site Fertility &amp; Climate</t>
  </si>
  <si>
    <t xml:space="preserve">                                                    Resilience/ Recovery Duration - Colonizer  Availability Influence</t>
  </si>
  <si>
    <t xml:space="preserve">                                                       Resilience/ Recovery Duration - Veg Growth Rate Influence</t>
  </si>
  <si>
    <t>Wetland      Stressors</t>
  </si>
  <si>
    <t>Stressor                  Indicators</t>
  </si>
  <si>
    <t xml:space="preserve">                                            Score for Stressors to Wetland</t>
  </si>
  <si>
    <r>
      <t xml:space="preserve">IF(AllSat1=1),"", IF(NoPonded=1),"", </t>
    </r>
    <r>
      <rPr>
        <b/>
        <sz val="10"/>
        <rFont val="Arial Narrow"/>
        <family val="2"/>
      </rPr>
      <t>ELSE</t>
    </r>
    <r>
      <rPr>
        <sz val="10"/>
        <rFont val="Arial Narrow"/>
        <family val="2"/>
      </rPr>
      <t>:  AVERAGE (Width, AVERAGE(GDD, Thruflo, AqPlantCov, Interspers))</t>
    </r>
  </si>
  <si>
    <r>
      <t xml:space="preserve">IF((Rare=1),1, IF((IBA=1),1, </t>
    </r>
    <r>
      <rPr>
        <b/>
        <sz val="10"/>
        <rFont val="Arial Narrow"/>
        <family val="2"/>
      </rPr>
      <t>ELSE</t>
    </r>
    <r>
      <rPr>
        <sz val="10"/>
        <rFont val="Arial Narrow"/>
        <family val="2"/>
      </rPr>
      <t>: MAX(HerbUniq, WoodyUniq, DistPond)</t>
    </r>
  </si>
  <si>
    <r>
      <rPr>
        <b/>
        <sz val="10"/>
        <rFont val="Arial Narrow"/>
        <family val="2"/>
      </rPr>
      <t>A.</t>
    </r>
    <r>
      <rPr>
        <sz val="10"/>
        <rFont val="Arial Narrow"/>
        <family val="2"/>
      </rPr>
      <t xml:space="preserve"> Neither the vegetation </t>
    </r>
    <r>
      <rPr>
        <b/>
        <sz val="10"/>
        <rFont val="Arial Narrow"/>
        <family val="2"/>
      </rPr>
      <t>taller</t>
    </r>
    <r>
      <rPr>
        <sz val="10"/>
        <rFont val="Arial Narrow"/>
        <family val="2"/>
      </rPr>
      <t xml:space="preserve"> than 1 m nor the vegetation </t>
    </r>
    <r>
      <rPr>
        <b/>
        <sz val="10"/>
        <rFont val="Arial Narrow"/>
        <family val="2"/>
      </rPr>
      <t>shorter</t>
    </r>
    <r>
      <rPr>
        <sz val="10"/>
        <rFont val="Arial Narrow"/>
        <family val="2"/>
      </rPr>
      <t xml:space="preserve"> than that comprise &gt;70% of the vegetated part of the AA.  </t>
    </r>
    <r>
      <rPr>
        <b/>
        <sz val="10"/>
        <rFont val="Arial Narrow"/>
        <family val="2"/>
      </rPr>
      <t xml:space="preserve">They </t>
    </r>
    <r>
      <rPr>
        <b/>
        <u/>
        <sz val="10"/>
        <rFont val="Arial Narrow"/>
        <family val="2"/>
      </rPr>
      <t>each</t>
    </r>
    <r>
      <rPr>
        <b/>
        <sz val="10"/>
        <rFont val="Arial Narrow"/>
        <family val="2"/>
      </rPr>
      <t xml:space="preserve"> comprise 30-70%</t>
    </r>
    <r>
      <rPr>
        <sz val="10"/>
        <rFont val="Arial Narrow"/>
        <family val="2"/>
      </rPr>
      <t xml:space="preserve">.  Choose between A1 and A2 and mark the choice with a 1 in the adjoining column.  Otherwise go to B below. </t>
    </r>
  </si>
  <si>
    <t>[FA, WC]</t>
  </si>
  <si>
    <t>LiveStore</t>
  </si>
  <si>
    <r>
      <t xml:space="preserve">IF((NoOutlet6=1),0, </t>
    </r>
    <r>
      <rPr>
        <b/>
        <sz val="10"/>
        <rFont val="Arial Narrow"/>
        <family val="2"/>
      </rPr>
      <t>ELSE</t>
    </r>
    <r>
      <rPr>
        <sz val="10"/>
        <rFont val="Arial Narrow"/>
        <family val="2"/>
      </rPr>
      <t>: (3*ExportPotential+ 2*CurrentProductivity + HistoricalAccumulation) /6</t>
    </r>
  </si>
  <si>
    <r>
      <t xml:space="preserve">IF((Fish Access=0),0,
IF((Water=0),0, </t>
    </r>
    <r>
      <rPr>
        <b/>
        <sz val="10"/>
        <rFont val="Arial Narrow"/>
        <family val="2"/>
      </rPr>
      <t xml:space="preserve">ELSE: </t>
    </r>
    <r>
      <rPr>
        <sz val="10"/>
        <rFont val="Arial Narrow"/>
        <family val="2"/>
      </rPr>
      <t xml:space="preserve">
AVERAGE(HydroRegime, Structure, Productivity, AnoxiaRisk, Stress))</t>
    </r>
  </si>
  <si>
    <r>
      <t xml:space="preserve">IF((Fen+Marsh=0), blank, </t>
    </r>
    <r>
      <rPr>
        <b/>
        <sz val="10"/>
        <rFont val="Arial Narrow"/>
        <family val="2"/>
      </rPr>
      <t>ELSE</t>
    </r>
    <r>
      <rPr>
        <sz val="10"/>
        <rFont val="Arial Narrow"/>
        <family val="2"/>
      </rPr>
      <t>: AVERAGE(WetTypeDiv, Beaver, PondProx, BigPondProx)</t>
    </r>
  </si>
  <si>
    <r>
      <t xml:space="preserve">IF((AllSat1=1),0,
IF((TooSmall=1),0, IF((TooSteep=1), 0, </t>
    </r>
    <r>
      <rPr>
        <b/>
        <sz val="10"/>
        <rFont val="Arial Narrow"/>
        <family val="2"/>
      </rPr>
      <t>ELSE:</t>
    </r>
    <r>
      <rPr>
        <sz val="10"/>
        <rFont val="Arial Narrow"/>
        <family val="2"/>
      </rPr>
      <t xml:space="preserve">
[AVERAGE(Lscape,Stressors, Produc) + 2*MAX(Mudflat, AVERAGE(Hydro, Struc)] /3
</t>
    </r>
  </si>
  <si>
    <t>IF((Rare=1),1, IF((IBirdv=1),1, MAX(HerbUniq, DistPond, AVERAGE(DuckHunt, PopCtr, Visib))))</t>
  </si>
  <si>
    <r>
      <t xml:space="preserve">IF((Rare=1),1, IF((IBirdv=1),1, </t>
    </r>
    <r>
      <rPr>
        <b/>
        <sz val="10"/>
        <rFont val="Arial Narrow"/>
        <family val="2"/>
      </rPr>
      <t>ELSE</t>
    </r>
    <r>
      <rPr>
        <sz val="10"/>
        <rFont val="Arial Narrow"/>
        <family val="2"/>
      </rPr>
      <t>: MAX(DistPond, HerbUniq)</t>
    </r>
  </si>
  <si>
    <t>Cover Page: Basic Description of Assessment</t>
  </si>
  <si>
    <r>
      <t>At least once annually, surface water from a tributary channel that is &gt;100 m long moves into the AA.  Or, surface water from a larger permanent water body adjacent to the AA spills into the AA.</t>
    </r>
    <r>
      <rPr>
        <b/>
        <sz val="10"/>
        <rFont val="Arial Narrow"/>
        <family val="2"/>
      </rPr>
      <t xml:space="preserve">  </t>
    </r>
    <r>
      <rPr>
        <sz val="10"/>
        <rFont val="Arial Narrow"/>
        <family val="2"/>
      </rPr>
      <t>If it enters only via a pipe, that pipe must be fed by a mapped stream or lake further upslope.</t>
    </r>
    <r>
      <rPr>
        <b/>
        <sz val="10"/>
        <rFont val="Arial Narrow"/>
        <family val="2"/>
      </rPr>
      <t xml:space="preserve"> </t>
    </r>
    <r>
      <rPr>
        <sz val="10"/>
        <rFont val="Arial Narrow"/>
        <family val="2"/>
      </rPr>
      <t xml:space="preserve">If no, </t>
    </r>
    <r>
      <rPr>
        <b/>
        <sz val="10"/>
        <rFont val="Arial Narrow"/>
        <family val="2"/>
      </rPr>
      <t>SKIP to F47</t>
    </r>
    <r>
      <rPr>
        <sz val="10"/>
        <rFont val="Arial Narrow"/>
        <family val="2"/>
      </rPr>
      <t xml:space="preserve"> (pH Measurement).</t>
    </r>
  </si>
  <si>
    <t>MIN(SedExcess, Acid, AltTime, ToxData, 1-NatVegCUpct)</t>
  </si>
  <si>
    <t>Water Storage &amp; Delay (WS)</t>
  </si>
  <si>
    <r>
      <t>Sedges (</t>
    </r>
    <r>
      <rPr>
        <i/>
        <sz val="10"/>
        <rFont val="Arial Narrow"/>
        <family val="2"/>
      </rPr>
      <t>Carex</t>
    </r>
    <r>
      <rPr>
        <sz val="10"/>
        <rFont val="Arial Narrow"/>
        <family val="2"/>
      </rPr>
      <t xml:space="preserve"> spp.) and cottongrass (</t>
    </r>
    <r>
      <rPr>
        <i/>
        <sz val="10"/>
        <rFont val="Arial Narrow"/>
        <family val="2"/>
      </rPr>
      <t>Eriophorum</t>
    </r>
    <r>
      <rPr>
        <sz val="10"/>
        <rFont val="Arial Narrow"/>
        <family val="2"/>
      </rPr>
      <t xml:space="preserve"> spp.) occupy:</t>
    </r>
  </si>
  <si>
    <t>Forbs are flowering plants.  Do not include grasses, sedges, cattail, other graminoids, ferns, horsetails, or others that lack showy flowers.  [POL]</t>
  </si>
  <si>
    <t>Estimate these proportions by considering the gradient and microtopography of the site. [FR, INV, WBF, WBN]</t>
  </si>
  <si>
    <t>Within 5 km downstream or downslope of the AA (select first true choice):</t>
  </si>
  <si>
    <r>
      <t xml:space="preserve">IF((Fen_ + Marsh=0), blank, </t>
    </r>
    <r>
      <rPr>
        <b/>
        <sz val="10"/>
        <rFont val="Arial Narrow"/>
        <family val="2"/>
      </rPr>
      <t>ELSE</t>
    </r>
    <r>
      <rPr>
        <sz val="10"/>
        <rFont val="Arial Narrow"/>
        <family val="2"/>
      </rPr>
      <t>: AVERAGE(Bduck, Lake, LakeProx, Fringe, Beaver, PondProx)]</t>
    </r>
  </si>
  <si>
    <t xml:space="preserve">Scores will appear below after data are entered in worksheets OF, F, and S. See Manual for definitions and descriptions of how scores were computed. </t>
  </si>
  <si>
    <t>Mark the province in which the AA is located by changing the 0 in the column next to it to a "1".  Mark only one.</t>
  </si>
  <si>
    <t>See above. Do not consider conifer plantations to be forest if it is obvious that trees were planted in rows. [AMv, PHv, POLv, SBMv]</t>
  </si>
  <si>
    <t>In Google Earth, draw the 5 km buffer and then estimate land cover percentages, or do GIS analysis of an appropriate land cover layer. [AM, PH, POL, SBM, Sens]</t>
  </si>
  <si>
    <t>May use existing data, or monitor waters as part of this wetland assessment.  [NRv, PRv, SRv]</t>
  </si>
  <si>
    <t>Maps show Flood Zone or Flood Risk areas, but infrastructure is absent or is not vulnerable to floods from a non-tidal river.  In some cases levees, upriver dams, or other measures may partly limit damage or risk from smaller events.</t>
  </si>
  <si>
    <t>The source of this layer, which should be checked periodically for updates, is: http://www.ibacanada.com/mapviewer.jsp?lang=EN   [SBMv, WBFv, WBNv]</t>
  </si>
  <si>
    <t>[SBM]</t>
  </si>
  <si>
    <t>Wintering Deer or Moose Concentration Areas</t>
  </si>
  <si>
    <t>AVERAGE(Wettype, SeasWpct, Fluctu, Nfix)]</t>
  </si>
  <si>
    <t>Elev9</t>
  </si>
  <si>
    <t>Request information from ACCDC and/or conduct your own survey at an appropriate season using an approved protocol. For birds, also check eBird.org.  [AMv, EC, PHv, POLv, SBMv, Sens, WBFv, WBNv]</t>
  </si>
  <si>
    <t>This was provided by Dr. David Leske.  [WBNv]</t>
  </si>
  <si>
    <t>May use existing data, or sample those waters as part of this wetland assessment. "Harmful" should be evaluated with regard to current federal or provincial water quality standards. [AM, FA, FR, NRv, PRv, SRv, STR, WBF, WBN]</t>
  </si>
  <si>
    <t>This layer was provided by Dr. Dan McKenney of the Canadian Forest Service  [AM, CS, FR, INV, NR, OE, PH, PR, Sens, SR, WBF, WCv, WS]</t>
  </si>
  <si>
    <r>
      <t xml:space="preserve">those species together do </t>
    </r>
    <r>
      <rPr>
        <b/>
        <sz val="10"/>
        <rFont val="Arial Narrow"/>
        <family val="2"/>
      </rPr>
      <t xml:space="preserve">not </t>
    </r>
    <r>
      <rPr>
        <sz val="10"/>
        <rFont val="Arial Narrow"/>
        <family val="2"/>
      </rPr>
      <t>comprise &gt; 50% of the areal cover of herbaceous plants at any time during the year.</t>
    </r>
  </si>
  <si>
    <t>Determine which two herbaceous species comprise the greatest portion of the herbaceous cover (excluding mosses and floating-leaved aquatic plants). Then choose one of the following:</t>
  </si>
  <si>
    <r>
      <rPr>
        <b/>
        <sz val="10"/>
        <rFont val="Arial Narrow"/>
        <family val="2"/>
      </rPr>
      <t>Human</t>
    </r>
    <r>
      <rPr>
        <sz val="10"/>
        <rFont val="Arial Narrow"/>
        <family val="2"/>
      </rPr>
      <t xml:space="preserve"> actions within or adjacent to the AA have persistently expanded a naturally occurring wetland or created a wetland where there previously was none (e.g., by excavation, impoundment):</t>
    </r>
  </si>
  <si>
    <t xml:space="preserve">Ponded Area Within 1 km.  </t>
  </si>
  <si>
    <t>Within the AA, inclusions of upland are:</t>
  </si>
  <si>
    <t>Water Quality Sensitive Watershed or Area</t>
  </si>
  <si>
    <t>Draw a 5-km radius circle measured from the center of the AA.  Ignoring all permanent water in the circle, the percent of the remaining area that is wooded or unmanaged herbaceous vegetation (NOT lawn, row crops, bare or heavily grazed land, clearcuts, or conifer plantations) is:</t>
  </si>
  <si>
    <t>From a topographic map and field observations, estimate the approximate boundaries of the catchment (CA) of the entire wetland of which the AA may be only a part. Then adjust those boundaries if necessary based on your field observations of the surrounding terrain, and/or by using procedures described in the Manual.  Divide the area of the wetland (not just the AA) by the approximate area of its catchment excluding the area of the wetland itself.  When doing the calculation, if ponded water is adjacent to the wetland, include that in the wetland's area.  The result is:</t>
  </si>
  <si>
    <t>A relatively large proportion of the precipitation that falls farther upslope in the CA reaches this wetland quickly as runoff (surface water), as indicated by the following: 
(a) input channel is present,
(b) input channels have been straightened,
(c) upslope wetlands have been ditched extensively,
(d) land cover is mostly non-forest,
(e) CA slopes are steep, and/or
(f) most CA soils are shallow (bedrock near surface) and/or have high runoff coefficients. 
This statement is:</t>
  </si>
  <si>
    <t>New timber harvest, roads, mineral extraction, and intensive summer recreation (e.g., off-road vehicles) are permanently prohibited. Includes many publicly-owned Protected Lands, and private lands under long-term (30+ year) legal agreements to maintain nearly-unaltered conditions.</t>
  </si>
  <si>
    <r>
      <t xml:space="preserve">The area of </t>
    </r>
    <r>
      <rPr>
        <b/>
        <sz val="10"/>
        <rFont val="Arial Narrow"/>
        <family val="2"/>
        <scheme val="minor"/>
      </rPr>
      <t>surface wate</t>
    </r>
    <r>
      <rPr>
        <sz val="10"/>
        <rFont val="Arial Narrow"/>
        <family val="2"/>
        <scheme val="minor"/>
      </rPr>
      <t>r ponded during most of the growing season that is both (1) in or adjacent to the AA and (2) within 1 km is:</t>
    </r>
  </si>
  <si>
    <r>
      <t xml:space="preserve">The area of </t>
    </r>
    <r>
      <rPr>
        <b/>
        <sz val="10"/>
        <rFont val="Arial Narrow"/>
        <family val="2"/>
        <scheme val="minor"/>
      </rPr>
      <t xml:space="preserve">wetlands and surface water </t>
    </r>
    <r>
      <rPr>
        <sz val="10"/>
        <rFont val="Arial Narrow"/>
        <family val="2"/>
        <scheme val="minor"/>
      </rPr>
      <t>ponded during most of the growing season that is both (1) in or adjacent to the AA and (2) within 1 km is:</t>
    </r>
  </si>
  <si>
    <r>
      <t xml:space="preserve">The minimum distance from the </t>
    </r>
    <r>
      <rPr>
        <b/>
        <sz val="10"/>
        <rFont val="Arial Narrow"/>
        <family val="2"/>
        <scheme val="minor"/>
      </rPr>
      <t>edge</t>
    </r>
    <r>
      <rPr>
        <sz val="10"/>
        <rFont val="Arial Narrow"/>
        <family val="2"/>
        <scheme val="minor"/>
      </rPr>
      <t xml:space="preserve"> of the AA to the edge of the closest </t>
    </r>
    <r>
      <rPr>
        <b/>
        <i/>
        <sz val="10"/>
        <rFont val="Arial Narrow"/>
        <family val="2"/>
        <scheme val="minor"/>
      </rPr>
      <t xml:space="preserve">vegetated land </t>
    </r>
    <r>
      <rPr>
        <sz val="10"/>
        <rFont val="Arial Narrow"/>
        <family val="2"/>
        <scheme val="minor"/>
      </rPr>
      <t xml:space="preserve">(but excluding row crops, lawn, conifer plantation) </t>
    </r>
    <r>
      <rPr>
        <b/>
        <sz val="10"/>
        <rFont val="Arial Narrow"/>
        <family val="2"/>
        <scheme val="minor"/>
      </rPr>
      <t>larger than 375 hectares</t>
    </r>
    <r>
      <rPr>
        <sz val="10"/>
        <rFont val="Arial Narrow"/>
        <family val="2"/>
        <scheme val="minor"/>
      </rPr>
      <t xml:space="preserve"> (about 2 km on a side), is:</t>
    </r>
  </si>
  <si>
    <r>
      <t xml:space="preserve">50-500 m, and </t>
    </r>
    <r>
      <rPr>
        <b/>
        <sz val="10"/>
        <rFont val="Arial Narrow"/>
        <family val="2"/>
        <scheme val="minor"/>
      </rPr>
      <t>not</t>
    </r>
    <r>
      <rPr>
        <sz val="10"/>
        <rFont val="Arial Narrow"/>
        <family val="2"/>
        <scheme val="minor"/>
      </rPr>
      <t xml:space="preserve"> separated.</t>
    </r>
  </si>
  <si>
    <r>
      <t xml:space="preserve">0.5 - 5 km, and </t>
    </r>
    <r>
      <rPr>
        <b/>
        <sz val="10"/>
        <rFont val="Arial Narrow"/>
        <family val="2"/>
        <scheme val="minor"/>
      </rPr>
      <t>not</t>
    </r>
    <r>
      <rPr>
        <sz val="10"/>
        <rFont val="Arial Narrow"/>
        <family val="2"/>
        <scheme val="minor"/>
      </rPr>
      <t xml:space="preserve"> separated.</t>
    </r>
  </si>
  <si>
    <r>
      <t xml:space="preserve">Within the </t>
    </r>
    <r>
      <rPr>
        <b/>
        <sz val="10"/>
        <rFont val="Arial Narrow"/>
        <family val="2"/>
        <scheme val="minor"/>
      </rPr>
      <t xml:space="preserve">5-km </t>
    </r>
    <r>
      <rPr>
        <sz val="10"/>
        <rFont val="Arial Narrow"/>
        <family val="2"/>
        <scheme val="minor"/>
      </rPr>
      <t>radius circle, and ignoring all permanent water, the land area that is bare or non-perennial cover is mostly:</t>
    </r>
  </si>
  <si>
    <r>
      <t xml:space="preserve">Measured </t>
    </r>
    <r>
      <rPr>
        <b/>
        <sz val="10"/>
        <rFont val="Arial Narrow"/>
        <family val="2"/>
        <scheme val="minor"/>
      </rPr>
      <t>along</t>
    </r>
    <r>
      <rPr>
        <sz val="10"/>
        <rFont val="Arial Narrow"/>
        <family val="2"/>
        <scheme val="minor"/>
      </rPr>
      <t xml:space="preserve"> the maintained road nearest the AA, the distance to the nearest </t>
    </r>
    <r>
      <rPr>
        <b/>
        <sz val="10"/>
        <rFont val="Arial Narrow"/>
        <family val="2"/>
        <scheme val="minor"/>
      </rPr>
      <t xml:space="preserve">population center </t>
    </r>
    <r>
      <rPr>
        <sz val="10"/>
        <rFont val="Arial Narrow"/>
        <family val="2"/>
        <scheme val="minor"/>
      </rPr>
      <t>is:</t>
    </r>
  </si>
  <si>
    <r>
      <t xml:space="preserve">From the </t>
    </r>
    <r>
      <rPr>
        <b/>
        <sz val="10"/>
        <rFont val="Arial Narrow"/>
        <family val="2"/>
        <scheme val="minor"/>
      </rPr>
      <t xml:space="preserve">center </t>
    </r>
    <r>
      <rPr>
        <sz val="10"/>
        <rFont val="Arial Narrow"/>
        <family val="2"/>
        <scheme val="minor"/>
      </rPr>
      <t>of the AA, the distance to the nearest maintained public road (dirt or paved) is:</t>
    </r>
  </si>
  <si>
    <r>
      <t xml:space="preserve">The distance from the AA edge to the closest </t>
    </r>
    <r>
      <rPr>
        <b/>
        <sz val="10"/>
        <rFont val="Arial Narrow"/>
        <family val="2"/>
        <scheme val="minor"/>
      </rPr>
      <t xml:space="preserve">tidal water </t>
    </r>
    <r>
      <rPr>
        <sz val="10"/>
        <rFont val="Arial Narrow"/>
        <family val="2"/>
        <scheme val="minor"/>
      </rPr>
      <t>body (regardless of its salinity) is:</t>
    </r>
  </si>
  <si>
    <r>
      <t xml:space="preserve">More than 75% of the AA's perimeter abuts upland. Any remainder adjoins other wetlands or water that is mostly wider than the AA.  </t>
    </r>
    <r>
      <rPr>
        <b/>
        <sz val="10"/>
        <rFont val="Arial Narrow"/>
        <family val="2"/>
        <scheme val="minor"/>
      </rPr>
      <t xml:space="preserve">This will be true for most </t>
    </r>
    <r>
      <rPr>
        <sz val="10"/>
        <rFont val="Arial Narrow"/>
        <family val="2"/>
        <scheme val="minor"/>
      </rPr>
      <t>assessments done with WESP-AC.</t>
    </r>
  </si>
  <si>
    <r>
      <t xml:space="preserve">Maps do </t>
    </r>
    <r>
      <rPr>
        <b/>
        <sz val="10"/>
        <rFont val="Arial Narrow"/>
        <family val="2"/>
        <scheme val="minor"/>
      </rPr>
      <t>not</t>
    </r>
    <r>
      <rPr>
        <sz val="10"/>
        <rFont val="Arial Narrow"/>
        <family val="2"/>
        <scheme val="minor"/>
      </rPr>
      <t xml:space="preserve"> show Flood Zone or Flood Risk areas (</t>
    </r>
    <r>
      <rPr>
        <b/>
        <sz val="10"/>
        <rFont val="Arial Narrow"/>
        <family val="2"/>
        <scheme val="minor"/>
      </rPr>
      <t>or no such mapping has been done locally</t>
    </r>
    <r>
      <rPr>
        <sz val="10"/>
        <rFont val="Arial Narrow"/>
        <family val="2"/>
        <scheme val="minor"/>
      </rPr>
      <t>) and there appears to be infrastructure vulnerable to river flooding unrelated to tidal storm surges.</t>
    </r>
  </si>
  <si>
    <r>
      <t>Maps do not show Flood Zone or Flood Risk areas (or no such mapping has been done locally) and there is</t>
    </r>
    <r>
      <rPr>
        <b/>
        <sz val="10"/>
        <rFont val="Arial Narrow"/>
        <family val="2"/>
        <scheme val="minor"/>
      </rPr>
      <t xml:space="preserve"> no infrastructure</t>
    </r>
    <r>
      <rPr>
        <sz val="10"/>
        <rFont val="Arial Narrow"/>
        <family val="2"/>
        <scheme val="minor"/>
      </rPr>
      <t xml:space="preserve"> vulnerable to river flooding unrelated to tidal storm surges.</t>
    </r>
  </si>
  <si>
    <r>
      <t xml:space="preserve">Sampling indicates a problem with concentrations of </t>
    </r>
    <r>
      <rPr>
        <b/>
        <sz val="10"/>
        <rFont val="Arial Narrow"/>
        <family val="2"/>
        <scheme val="minor"/>
      </rPr>
      <t>metals, hydrocarbons</t>
    </r>
    <r>
      <rPr>
        <sz val="10"/>
        <rFont val="Arial Narrow"/>
        <family val="2"/>
        <scheme val="minor"/>
      </rPr>
      <t>,</t>
    </r>
    <r>
      <rPr>
        <b/>
        <sz val="10"/>
        <rFont val="Arial Narrow"/>
        <family val="2"/>
        <scheme val="minor"/>
      </rPr>
      <t xml:space="preserve"> nutrients</t>
    </r>
    <r>
      <rPr>
        <sz val="10"/>
        <rFont val="Arial Narrow"/>
        <family val="2"/>
        <scheme val="minor"/>
      </rPr>
      <t xml:space="preserve">, or other substances (excluding bacteria, acidic water, high temperatures) being present at levels harmful to aquatic life or humans, and:  </t>
    </r>
  </si>
  <si>
    <r>
      <t xml:space="preserve">The condition is present in waters within 1 km that flow </t>
    </r>
    <r>
      <rPr>
        <b/>
        <sz val="10"/>
        <rFont val="Arial Narrow"/>
        <family val="2"/>
        <scheme val="minor"/>
      </rPr>
      <t>into</t>
    </r>
    <r>
      <rPr>
        <sz val="10"/>
        <rFont val="Arial Narrow"/>
        <family val="2"/>
        <scheme val="minor"/>
      </rPr>
      <t xml:space="preserve"> the AA, but has not been documented in the AA itself.</t>
    </r>
  </si>
  <si>
    <r>
      <t xml:space="preserve">Data are insufficient (no or inadequate sampling within 1 km, or condition exists only at &gt;1 km upstream). </t>
    </r>
    <r>
      <rPr>
        <b/>
        <sz val="10"/>
        <rFont val="Arial Narrow"/>
        <family val="2"/>
        <scheme val="minor"/>
      </rPr>
      <t>This is the situation for nearly all wetlands in this region.</t>
    </r>
  </si>
  <si>
    <r>
      <t xml:space="preserve">The problem described above is </t>
    </r>
    <r>
      <rPr>
        <b/>
        <sz val="10"/>
        <rFont val="Arial Narrow"/>
        <family val="2"/>
        <scheme val="minor"/>
      </rPr>
      <t>downslope from</t>
    </r>
    <r>
      <rPr>
        <sz val="10"/>
        <rFont val="Arial Narrow"/>
        <family val="2"/>
        <scheme val="minor"/>
      </rPr>
      <t xml:space="preserve"> the AA, and:</t>
    </r>
  </si>
  <si>
    <r>
      <t xml:space="preserve">Within the past 10 years, in the AA (or in its adjoining waters or wetland), qualified observers have documented </t>
    </r>
    <r>
      <rPr>
        <i/>
        <sz val="10"/>
        <rFont val="Arial Narrow"/>
        <family val="2"/>
        <scheme val="minor"/>
      </rPr>
      <t>[mark all applicable</t>
    </r>
    <r>
      <rPr>
        <sz val="10"/>
        <rFont val="Arial Narrow"/>
        <family val="2"/>
        <scheme val="minor"/>
      </rPr>
      <t>]:</t>
    </r>
  </si>
  <si>
    <r>
      <t xml:space="preserve">Presence of one or more of the </t>
    </r>
    <r>
      <rPr>
        <b/>
        <sz val="10"/>
        <rFont val="Arial Narrow"/>
        <family val="2"/>
        <scheme val="minor"/>
      </rPr>
      <t>amphibian or reptile</t>
    </r>
    <r>
      <rPr>
        <sz val="10"/>
        <rFont val="Arial Narrow"/>
        <family val="2"/>
        <scheme val="minor"/>
      </rPr>
      <t xml:space="preserve"> species (AM) of conservation concern as listed in the Wildlife_Rare worksheet of the accompanying SuppInfo file.</t>
    </r>
  </si>
  <si>
    <r>
      <t xml:space="preserve">Presence of one or more of the </t>
    </r>
    <r>
      <rPr>
        <b/>
        <sz val="10"/>
        <rFont val="Arial Narrow"/>
        <family val="2"/>
        <scheme val="minor"/>
      </rPr>
      <t>waterbird</t>
    </r>
    <r>
      <rPr>
        <sz val="10"/>
        <rFont val="Arial Narrow"/>
        <family val="2"/>
        <scheme val="minor"/>
      </rPr>
      <t xml:space="preserve"> species (WBF, WBN) of conservation concern as listed in the Wildlife_Rare worksheet of the accompanying SuppInfo file.</t>
    </r>
  </si>
  <si>
    <r>
      <t xml:space="preserve">Presence of one or more of the nesting </t>
    </r>
    <r>
      <rPr>
        <b/>
        <sz val="10"/>
        <rFont val="Arial Narrow"/>
        <family val="2"/>
        <scheme val="minor"/>
      </rPr>
      <t>songbird or raptor</t>
    </r>
    <r>
      <rPr>
        <sz val="10"/>
        <rFont val="Arial Narrow"/>
        <family val="2"/>
        <scheme val="minor"/>
      </rPr>
      <t xml:space="preserve"> species (SBM) of conservation concern as listed in the Wildlife_Rare worksheet of the accompanying SuppInfo file, during their nesting season (May-July for most species).</t>
    </r>
  </si>
  <si>
    <r>
      <t xml:space="preserve">In Google Earth, open the KMZ file that accompanies this calculator, called </t>
    </r>
    <r>
      <rPr>
        <b/>
        <sz val="10"/>
        <rFont val="Arial Narrow"/>
        <family val="2"/>
        <scheme val="minor"/>
      </rPr>
      <t>IBAs_Canada</t>
    </r>
    <r>
      <rPr>
        <sz val="10"/>
        <rFont val="Arial Narrow"/>
        <family val="2"/>
        <scheme val="minor"/>
      </rPr>
      <t xml:space="preserve">.  The AA is all or part of an officially designated IBA. Enter 1= yes, 0= no. </t>
    </r>
  </si>
  <si>
    <r>
      <t xml:space="preserve">The AA is all or part of a mitigation site used explicitly to offset impacts elsewhere. Ask the property owner.  Enter: yes= 1, no= 0. If no information, change to </t>
    </r>
    <r>
      <rPr>
        <b/>
        <sz val="10"/>
        <rFont val="Arial Narrow"/>
        <family val="2"/>
        <scheme val="minor"/>
      </rPr>
      <t>blank.</t>
    </r>
  </si>
  <si>
    <t>The TDS (total dissolved solids) or conductivity off the AA's surface water is: (select the first true row with information):</t>
  </si>
  <si>
    <t>Larger-diameter trees are generally older, implying that recovery (resilience) from their loss will take longer than from loss of young trees. Resilience is one component of wetland sensitivity. In calculations, is excluded automatically (cell goes blank) if few or no trees are present.</t>
  </si>
  <si>
    <r>
      <t>Wetlands with fewer species may be less resistant to environmental change, and less resilient following disturbances.</t>
    </r>
    <r>
      <rPr>
        <i/>
        <sz val="10"/>
        <rFont val="Times New Roman"/>
        <family val="2"/>
      </rPr>
      <t xml:space="preserve"> In calculations, is excluded automatically (cell goes blank) if little or no shrub cover is present.</t>
    </r>
  </si>
  <si>
    <t>High dispersion (fragmentation) of woody cover suggests recolonization of wetlands following disturbance may take longer when future disturbances occur, due to less intact corridors with similar cover types. In calculations, is excluded automatically (cell goes blank) if little or no woody cover is present.</t>
  </si>
  <si>
    <t>Simply because they tend to have more species, wetlands with a predominance of native species have more species to lose and thus could be considered to be more sensitive to impacts. In contrast, once wetlands become dominated by non-native (exotic) species, the plant community structure is simplified (e.g., Perkins &amp; Willson 2005). Non-natives tend to have broad environmental tolerances, so wetlands dominated by them and thus having low species richness are more resistant to further change (Werner &amp; Zedler 2002, Wigand et al. 2003). By itself, increased species richness in a wetland does not always confer increased resistance (decreased sensitivity) of a wetland’s functions to artificial changes (e.g., Engelhardt &amp; Kadlec 2001). In calculations, is excluded automatically (cell goes blank) if little or no herbaceous cover is present.</t>
  </si>
  <si>
    <t xml:space="preserve">Decreases in water inputs will have the greatest impact on shallow wetlands, even causing parts of them to cease being wetlands, and causing major changes in species and biogeochemical processes in the remaining wetland. Also, among wetlands having the same area, shallow wetlands have less volume than deeper ones and thus experience less dilution of incoming contaminants. In calculations, is excluded automatically (cell goes blank) if wetland never has surface water during an average year. </t>
  </si>
  <si>
    <r>
      <t xml:space="preserve">Ponded waters are more susceptible to developing oxygen deficits and bioaccumulating contaminants. </t>
    </r>
    <r>
      <rPr>
        <i/>
        <sz val="10"/>
        <rFont val="Times New Roman"/>
        <family val="2"/>
      </rPr>
      <t xml:space="preserve">In calculations, is excluded automatically (cell goes blank) if wetland never has surface water during an average year. </t>
    </r>
  </si>
  <si>
    <t>Narrow wetlands tend to be more susceptible to erosion from waves and currents. Their microclimate also is more precarious, trees are more subject to windthrow (Martin &amp; Grotenfendt 2007, Bahuguna et al. 2010), and their wildlife may be more susceptible to predation. In narrow strips or small patches of vegetation, the native plant communities are more vulnerable to invasion from non-native species from adjoining lands (Hennings &amp; Edge 2003). A study in Alberta found that non-native plants within forests there were most abundant  between 15 and 50 ft from the edge, and some of those species were found up to 130 ft from the edge. Although larger patches of forest generally supported more non-natives species than smaller fragments, the smallest fragments had the greatest number of non-native species per square meter (Gignac &amp; Dale 2007). Wooded buffers with dense vegetation tend to restrict wind-driven dispersal of seeds of non-native plants into the area protected by a buffer (Cadenzas &amp; Pickett 2001). If the adjoining uplands are not forested, a greater proportion of the trees in narrow wetlands are subject to blowdown, and the wetland’s plants and animals are more subject to extremes of the surrounding microclimate as well as disturbance from humans in nearby uplands. In calculations, is excluded automatically (cell goes blank) if wetland never has surface water during an average year, or has no open water.</t>
  </si>
  <si>
    <t>The distance from the AA center to the closest (but separate) ponded water body visible in GoogleEarth imagery is:</t>
  </si>
  <si>
    <r>
      <t xml:space="preserve">Flood Damage from </t>
    </r>
    <r>
      <rPr>
        <b/>
        <sz val="10"/>
        <rFont val="Arial Narrow"/>
        <family val="2"/>
        <scheme val="minor"/>
      </rPr>
      <t>Non-tida</t>
    </r>
    <r>
      <rPr>
        <sz val="10"/>
        <rFont val="Arial Narrow"/>
        <family val="2"/>
        <scheme val="minor"/>
      </rPr>
      <t>l Waters</t>
    </r>
  </si>
  <si>
    <t>Maps show Flood Zone or Flood Risk areas and there appears to be infrastructure vulnerable to river flooding not caused by tidal storm surges.</t>
  </si>
  <si>
    <t xml:space="preserve">&gt;1 (wetland is larger than its catchment (e.g., wetland with flat surrounding terrain and no inlet, or is entirely isolated by dikes, or is a raised bog). </t>
  </si>
  <si>
    <r>
      <rPr>
        <b/>
        <sz val="10"/>
        <rFont val="Arial Narrow"/>
        <family val="2"/>
      </rPr>
      <t>A.</t>
    </r>
    <r>
      <rPr>
        <sz val="10"/>
        <rFont val="Arial Narrow"/>
        <family val="2"/>
      </rPr>
      <t xml:space="preserve"> Moss and/or lichen cover </t>
    </r>
    <r>
      <rPr>
        <b/>
        <sz val="10"/>
        <rFont val="Arial Narrow"/>
        <family val="2"/>
      </rPr>
      <t>more than 25%</t>
    </r>
    <r>
      <rPr>
        <sz val="10"/>
        <rFont val="Arial Narrow"/>
        <family val="2"/>
      </rPr>
      <t xml:space="preserve">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t>
    </r>
  </si>
  <si>
    <r>
      <t>A1.</t>
    </r>
    <r>
      <rPr>
        <sz val="10"/>
        <rFont val="Arial Narrow"/>
        <family val="2"/>
      </rPr>
      <t xml:space="preserve">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t>
    </r>
    <r>
      <rPr>
        <i/>
        <sz val="10"/>
        <rFont val="Arial Narrow"/>
        <family val="2"/>
      </rPr>
      <t>Carex rariflor</t>
    </r>
    <r>
      <rPr>
        <sz val="10"/>
        <rFont val="Arial Narrow"/>
        <family val="2"/>
      </rPr>
      <t>a). Wetland surface and surrounding landscape are seldom sloping and wetland often is domed (convex). Inlet and outlet channels are usually absent.  If known, pH of peat is &lt;4.0.</t>
    </r>
  </si>
  <si>
    <r>
      <t>A2</t>
    </r>
    <r>
      <rPr>
        <sz val="10"/>
        <rFont val="Arial Narrow"/>
        <family val="2"/>
      </rPr>
      <t>.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t>
    </r>
  </si>
  <si>
    <r>
      <t>Following EACH row below, indicate with a number code the percentage of the living vegetation in the AA which is occupied by that feature (</t>
    </r>
    <r>
      <rPr>
        <b/>
        <sz val="10"/>
        <rFont val="Arial Narrow"/>
        <family val="2"/>
      </rPr>
      <t>6</t>
    </r>
    <r>
      <rPr>
        <sz val="10"/>
        <rFont val="Arial Narrow"/>
        <family val="2"/>
      </rPr>
      <t xml:space="preserve"> if &gt;95%, </t>
    </r>
    <r>
      <rPr>
        <b/>
        <sz val="10"/>
        <rFont val="Arial Narrow"/>
        <family val="2"/>
      </rPr>
      <t>5</t>
    </r>
    <r>
      <rPr>
        <sz val="10"/>
        <rFont val="Arial Narrow"/>
        <family val="2"/>
      </rPr>
      <t xml:space="preserve"> if 75-95%, </t>
    </r>
    <r>
      <rPr>
        <b/>
        <sz val="10"/>
        <rFont val="Arial Narrow"/>
        <family val="2"/>
      </rPr>
      <t>4</t>
    </r>
    <r>
      <rPr>
        <sz val="10"/>
        <rFont val="Arial Narrow"/>
        <family val="2"/>
      </rPr>
      <t xml:space="preserve"> if 50-75%, </t>
    </r>
    <r>
      <rPr>
        <b/>
        <sz val="10"/>
        <rFont val="Arial Narrow"/>
        <family val="2"/>
      </rPr>
      <t>3</t>
    </r>
    <r>
      <rPr>
        <sz val="10"/>
        <rFont val="Arial Narrow"/>
        <family val="2"/>
      </rPr>
      <t xml:space="preserve"> if 25-50%, </t>
    </r>
    <r>
      <rPr>
        <b/>
        <sz val="10"/>
        <rFont val="Arial Narrow"/>
        <family val="2"/>
      </rPr>
      <t>2</t>
    </r>
    <r>
      <rPr>
        <sz val="10"/>
        <rFont val="Arial Narrow"/>
        <family val="2"/>
      </rPr>
      <t xml:space="preserve"> if 5-25%, </t>
    </r>
    <r>
      <rPr>
        <b/>
        <sz val="10"/>
        <rFont val="Arial Narrow"/>
        <family val="2"/>
      </rPr>
      <t>1</t>
    </r>
    <r>
      <rPr>
        <sz val="10"/>
        <rFont val="Arial Narrow"/>
        <family val="2"/>
      </rPr>
      <t xml:space="preserve"> if &lt;5%, </t>
    </r>
    <r>
      <rPr>
        <b/>
        <sz val="10"/>
        <rFont val="Arial Narrow"/>
        <family val="2"/>
      </rPr>
      <t>0</t>
    </r>
    <r>
      <rPr>
        <sz val="10"/>
        <rFont val="Arial Narrow"/>
        <family val="2"/>
      </rPr>
      <t xml:space="preserve"> if none). If the vegetated part of the AA is largely herbaceous (non-woody) vegetation, these percentages should not sum to 100%.</t>
    </r>
  </si>
  <si>
    <t>Determine which two woody plant species comprise the greatest portion of the low (&lt;3 m) woody cover . Then choose one:</t>
  </si>
  <si>
    <t>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t>
  </si>
  <si>
    <t>In aerial ("ducks eye") view, the maximum annual cover of herbaceous vegetation (all non-woody plants except moss) is:</t>
  </si>
  <si>
    <r>
      <t xml:space="preserve">those species together comprise </t>
    </r>
    <r>
      <rPr>
        <b/>
        <sz val="10"/>
        <rFont val="Arial Narrow"/>
        <family val="2"/>
      </rPr>
      <t>&gt; 50%</t>
    </r>
    <r>
      <rPr>
        <sz val="10"/>
        <rFont val="Arial Narrow"/>
        <family val="2"/>
      </rPr>
      <t xml:space="preserve"> of the areal cover of herbaceous plants at any time during the year.</t>
    </r>
  </si>
  <si>
    <t>The percentage of the AA's area that is between the annual high water and the annual low water (surface water) is:</t>
  </si>
  <si>
    <r>
      <t xml:space="preserve">None, or &lt;0.01 hectare and &lt;1% of the AA.  </t>
    </r>
    <r>
      <rPr>
        <b/>
        <sz val="10"/>
        <rFont val="Arial Narrow"/>
        <family val="2"/>
      </rPr>
      <t>SKIP to F29.</t>
    </r>
  </si>
  <si>
    <r>
      <t xml:space="preserve">The annual fluctuation in surface water level within </t>
    </r>
    <r>
      <rPr>
        <b/>
        <sz val="10"/>
        <rFont val="Arial Narrow"/>
        <family val="2"/>
      </rPr>
      <t xml:space="preserve">most </t>
    </r>
    <r>
      <rPr>
        <sz val="10"/>
        <rFont val="Arial Narrow"/>
        <family val="2"/>
      </rPr>
      <t>of the parts of the AA that contain surface water at least temporarily is:</t>
    </r>
  </si>
  <si>
    <r>
      <t xml:space="preserve">During most times when surface water is present, the percentage that is (1) </t>
    </r>
    <r>
      <rPr>
        <b/>
        <sz val="10"/>
        <rFont val="Arial Narrow"/>
        <family val="2"/>
      </rPr>
      <t xml:space="preserve">ponded </t>
    </r>
    <r>
      <rPr>
        <sz val="10"/>
        <rFont val="Arial Narrow"/>
        <family val="2"/>
      </rPr>
      <t xml:space="preserve">(stagnant, or flows so slowly that fine sediment is not held in suspension) </t>
    </r>
    <r>
      <rPr>
        <b/>
        <sz val="10"/>
        <rFont val="Arial Narrow"/>
        <family val="2"/>
      </rPr>
      <t>AND</t>
    </r>
    <r>
      <rPr>
        <sz val="10"/>
        <rFont val="Arial Narrow"/>
        <family val="2"/>
      </rPr>
      <t xml:space="preserve"> (2) is likely to be deeper than 0.5 m in some places, is:</t>
    </r>
  </si>
  <si>
    <t>&gt; 100 m, or open water is absent at that time.</t>
  </si>
  <si>
    <r>
      <t xml:space="preserve">&lt;1% of the emergent vegetation, or emergent vegetation is absent. </t>
    </r>
    <r>
      <rPr>
        <b/>
        <sz val="10"/>
        <rFont val="Arial Narrow"/>
        <family val="2"/>
      </rPr>
      <t xml:space="preserve"> SKIP to F38.</t>
    </r>
  </si>
  <si>
    <r>
      <t>During most of the part of the growing season when water is present, the spatial pattern</t>
    </r>
    <r>
      <rPr>
        <b/>
        <sz val="10"/>
        <rFont val="Arial Narrow"/>
        <family val="2"/>
      </rPr>
      <t xml:space="preserve"> </t>
    </r>
    <r>
      <rPr>
        <sz val="10"/>
        <rFont val="Arial Narrow"/>
        <family val="2"/>
      </rPr>
      <t xml:space="preserve">of </t>
    </r>
    <r>
      <rPr>
        <b/>
        <sz val="10"/>
        <rFont val="Arial Narrow"/>
        <family val="2"/>
      </rPr>
      <t>emergent</t>
    </r>
    <r>
      <rPr>
        <sz val="10"/>
        <rFont val="Arial Narrow"/>
        <family val="2"/>
      </rPr>
      <t xml:space="preserve"> vegetation within the water is mostly:</t>
    </r>
  </si>
  <si>
    <r>
      <t xml:space="preserve">Most of the AA has a slope of &gt;5%, or is very close to the base of a natural slope longer than 100 and much steeper than the slope of the AA,  </t>
    </r>
    <r>
      <rPr>
        <b/>
        <sz val="10"/>
        <rFont val="Arial Narrow"/>
        <family val="2"/>
      </rPr>
      <t>AND</t>
    </r>
    <r>
      <rPr>
        <sz val="10"/>
        <rFont val="Arial Narrow"/>
        <family val="2"/>
      </rPr>
      <t xml:space="preserve"> the pH of surface water, if known, is &gt;5.5.</t>
    </r>
  </si>
  <si>
    <r>
      <rPr>
        <b/>
        <sz val="10"/>
        <rFont val="Arial Narrow"/>
        <family val="2"/>
      </rPr>
      <t>Ericaceous</t>
    </r>
    <r>
      <rPr>
        <sz val="10"/>
        <rFont val="Arial Narrow"/>
        <family val="2"/>
      </rPr>
      <t xml:space="preserve"> shrubs are ones in the heather family (Ericaceae).  Most have leathery evergreen leaves.  They include rhododendron, azalea, swamp laurel, leatherleaf, Labrador tea, and others. Most require acidic soil.  Although not in the family Ericaceae, sweetgale (</t>
    </r>
    <r>
      <rPr>
        <i/>
        <sz val="10"/>
        <rFont val="Arial Narrow"/>
        <family val="2"/>
      </rPr>
      <t>Myrica gale</t>
    </r>
    <r>
      <rPr>
        <sz val="10"/>
        <rFont val="Arial Narrow"/>
        <family val="2"/>
      </rPr>
      <t>) should be counted also.  [AM, CS, FA, FR, INV, NR, OE, PH, Sens, SFS, WBF, WBN]</t>
    </r>
  </si>
  <si>
    <r>
      <rPr>
        <b/>
        <sz val="10"/>
        <rFont val="Arial Narrow"/>
        <family val="2"/>
      </rPr>
      <t>Deciduous</t>
    </r>
    <r>
      <rPr>
        <sz val="10"/>
        <rFont val="Arial Narrow"/>
        <family val="2"/>
      </rPr>
      <t xml:space="preserve"> shrubs in this region usually include buttonbush, Labrador tea, bayberry (</t>
    </r>
    <r>
      <rPr>
        <i/>
        <sz val="10"/>
        <rFont val="Arial Narrow"/>
        <family val="2"/>
      </rPr>
      <t>Morella</t>
    </r>
    <r>
      <rPr>
        <sz val="10"/>
        <rFont val="Arial Narrow"/>
        <family val="2"/>
      </rPr>
      <t>), huckleberry, cranberry, cloudberry, sweetgale, alder, willow, birch, ash, dogwood, and a few others. If you assigned a code of 3 or higher to any of the first four choices and the ground cover beneath the trees/shrubs is &lt;25% moss, then question F1 might be "B1".  [CS, INV, NR, PH, POL, SBM, Sens]</t>
    </r>
  </si>
  <si>
    <t>Thatch is dead plant material (stems, leaves) resting on the ground surface.  Bare ground that is present under a tree or shrub canopy should be counted. Boulders count as bare ground. Wetlands with mineral soils and that are heavily shaded or are dominated by annual plant species tend to have more extensive areas that are bare during the early growing season.  [AM, EC, INV, NR, OE, POL, PR, SBM, Sens]</t>
  </si>
  <si>
    <t>The depressions may be of human or natural origin. [AM, EC, INV, NR, PH, POL, PR, SBM, SR, WS]</t>
  </si>
  <si>
    <r>
      <t xml:space="preserve">Wetland Stressors </t>
    </r>
    <r>
      <rPr>
        <sz val="9"/>
        <rFont val="Times New Roman"/>
        <family val="2"/>
      </rPr>
      <t>(STR) (higher score means more stress)</t>
    </r>
  </si>
  <si>
    <t>Determine this by viewing aerial imagery in Google Earth.  [Sens, WBF, WBN]</t>
  </si>
  <si>
    <t>If an ACCDC report is available for this AA, it also may contain such information.  [NRv]</t>
  </si>
  <si>
    <t xml:space="preserve">  </t>
  </si>
  <si>
    <r>
      <t xml:space="preserve">The largest vegetated patch or corridor that includes the AA's vegetation plus all </t>
    </r>
    <r>
      <rPr>
        <b/>
        <sz val="10"/>
        <rFont val="Arial Narrow"/>
        <family val="2"/>
        <scheme val="minor"/>
      </rPr>
      <t>adjacent</t>
    </r>
    <r>
      <rPr>
        <sz val="10"/>
        <rFont val="Arial Narrow"/>
        <family val="2"/>
        <scheme val="minor"/>
      </rPr>
      <t xml:space="preserve"> upland vegetation that is not lawn, row crops, heavily grazed lands, conifer plantation is:</t>
    </r>
  </si>
  <si>
    <t>Distance to Large Ponded Water</t>
  </si>
  <si>
    <r>
      <t xml:space="preserve">The vegetated part of the AA is within or adjacent to a body of non-tidal standing open water whose size exceeds </t>
    </r>
    <r>
      <rPr>
        <b/>
        <sz val="10"/>
        <rFont val="Arial Narrow"/>
        <family val="2"/>
      </rPr>
      <t xml:space="preserve">8 hectares </t>
    </r>
    <r>
      <rPr>
        <sz val="10"/>
        <rFont val="Arial Narrow"/>
        <family val="2"/>
      </rPr>
      <t>during most of a normal year.</t>
    </r>
  </si>
  <si>
    <t>1-25% of the AA,  or &lt;1% but &gt;0.01 ha never contains surface water.</t>
  </si>
  <si>
    <r>
      <t xml:space="preserve">&lt;1% . In other words, </t>
    </r>
    <r>
      <rPr>
        <b/>
        <sz val="10"/>
        <rFont val="Arial Narrow"/>
        <family val="2"/>
      </rPr>
      <t>all or nearly all of the AA is covered by water permanently</t>
    </r>
    <r>
      <rPr>
        <sz val="10"/>
        <rFont val="Arial Narrow"/>
        <family val="2"/>
      </rPr>
      <t xml:space="preserve"> </t>
    </r>
    <r>
      <rPr>
        <b/>
        <sz val="10"/>
        <rFont val="Arial Narrow"/>
        <family val="2"/>
      </rPr>
      <t xml:space="preserve">or at least seasonally.  </t>
    </r>
  </si>
  <si>
    <t>This determines to which province's calibration wetlands the raw score of any wetland is normalised. In the function and benefits models, it also triggers the automatic exclusion of indicators for which no spatial data exists in a particular province.</t>
  </si>
  <si>
    <t>Stan-dardise</t>
  </si>
  <si>
    <t>Stan-dardize</t>
  </si>
  <si>
    <t>The capacity to support rearing or spawning habitat of fish species that migrate from marine waters into freshwater streams to spawn.  Catadromous species (e.g., eels that spawn in marine waters but spend most of their life in fresh) are also included.</t>
  </si>
  <si>
    <t>For this question only, consider moss to be herbaceous vegetation.  Determine the score by viewing aerial imagery in Google Earth after successively drawing or estimating the boundaries of the buffers of 5 km, 1 km, and 100 m radius focused on the center of the AA.  Circles of specified radius can be drawn in Google Earth Pro by clicking on the Ruler icon, then Circle in the pop-up menu.  [AMv, PHv, POLv, SBMv, WBFv, WBNv]</t>
  </si>
  <si>
    <t>OF18</t>
  </si>
  <si>
    <t xml:space="preserve">A disproportionate amount of the nitrate introduced to a watershed is processed in headwater areas rather than in downstream lowland areas (Krause 1982).  However, where headwaters are at regionally high altitudes, the cooler temperatures and shorter growing seasons can potentially restrain denitrification. </t>
  </si>
  <si>
    <t xml:space="preserve">Benefits Score (Normalised) </t>
  </si>
  <si>
    <t>Function Score (Normalised)</t>
  </si>
  <si>
    <r>
      <rPr>
        <b/>
        <sz val="10"/>
        <rFont val="Arial Narrow"/>
        <family val="2"/>
      </rPr>
      <t>Loamy:</t>
    </r>
    <r>
      <rPr>
        <sz val="10"/>
        <rFont val="Arial Narrow"/>
        <family val="2"/>
      </rPr>
      <t xml:space="preserve"> soils that may contain a little fine grit and do not make a "ribbon" longer than 2 cm when moistened, rolled, squeezed, and extended between thumb and forefinger.</t>
    </r>
  </si>
  <si>
    <r>
      <rPr>
        <b/>
        <sz val="10"/>
        <rFont val="Arial Narrow"/>
        <family val="2"/>
      </rPr>
      <t>Fines</t>
    </r>
    <r>
      <rPr>
        <sz val="10"/>
        <rFont val="Arial Narrow"/>
        <family val="2"/>
      </rPr>
      <t>: includes silt, clay, silt, soils that make a ribbon longer than 2 cm when moistened, rolled, squeezed, and extended between thumb and forefinger.</t>
    </r>
  </si>
  <si>
    <r>
      <rPr>
        <b/>
        <sz val="10"/>
        <rFont val="Arial Narrow"/>
        <family val="2"/>
      </rPr>
      <t>Coarse</t>
    </r>
    <r>
      <rPr>
        <sz val="10"/>
        <rFont val="Arial Narrow"/>
        <family val="2"/>
      </rPr>
      <t>: includes sand, loamy sand, gravel, cobble, soils that do not make a ribbon when moistened, rolled, squeezed, and extended between thumb and forefinger.</t>
    </r>
  </si>
  <si>
    <t>See definition of adjacent in OF2.  Use Google Earth Pro's polygon ruler (as described above). Exclude conifer plantations only if it is obvious that trees were planted in rows. [AM, PH, SBM, Sens]</t>
  </si>
  <si>
    <t>See definition of adjacent in OF2.  If the AA's wetland vegetation extends beyond 1 km, include only the part within 1 km.  "Ponded" means not flowing in rivers or streams. [Sens, WBF]</t>
  </si>
  <si>
    <t>1 hectare is 10,000 sq. m or about 2.5 acres.  It could have dimensions of 100 m by 100 m, 1000 m by 10 m, or similar. [AM, INV, SBM, WBF]</t>
  </si>
  <si>
    <t>1 hectare is 10,000 sq. m or about 2.5 acres.  It could have dimensions of 100 m by 100 m, 1000 m by 10 m, or similar. [AM, FA, FR, INV, NR, PH, PR, SBM, Sens, SRv, WBF, WBN, WC ]</t>
  </si>
  <si>
    <t>&lt;50 m, but completely separated by those features.</t>
  </si>
  <si>
    <r>
      <t xml:space="preserve">&gt;2 km, </t>
    </r>
    <r>
      <rPr>
        <b/>
        <sz val="10"/>
        <rFont val="Arial Narrow"/>
        <family val="2"/>
        <scheme val="minor"/>
      </rPr>
      <t>or wetland lacks an inlet and outlet.</t>
    </r>
  </si>
  <si>
    <t>Wetlands located lower in a watershed are generally more accessible to anadromous fish.</t>
  </si>
  <si>
    <t>Stan- dardise</t>
  </si>
  <si>
    <t>karst8</t>
  </si>
  <si>
    <t>AVERAGE [WetType, AVERAGE(Depth, Warmth, DecidTree, Hardwood, WoodDown, Nfixers, Conduc, TidalProx, Karst) ]</t>
  </si>
  <si>
    <r>
      <t xml:space="preserve">Areas of calcareous bedrock (karst landforms) tend to have more naturally-formed crevices and tunnels that could provide cover for amphibians during their terrestrial phases. Karst also tends to support higher aquatic productivity. </t>
    </r>
    <r>
      <rPr>
        <i/>
        <sz val="10"/>
        <rFont val="Arial Narrow"/>
        <family val="2"/>
      </rPr>
      <t xml:space="preserve">In calculations, the 0-3 category is first divided by 3. </t>
    </r>
  </si>
  <si>
    <t>Karst11</t>
  </si>
  <si>
    <t>AVERAGE(Aspect, GDD,TreeVar, GroundW, Karst)</t>
  </si>
  <si>
    <t>Data x Weight</t>
  </si>
  <si>
    <t>Data x  Weight</t>
  </si>
  <si>
    <t xml:space="preserve">IF((FloodBdg=1), 1, AVERAGE(FloodBdg, AVERAGE: (ShedPos, CAunveg, Transport))
</t>
  </si>
  <si>
    <t>Arcement, G. J., Jr., and V.R. Schneider.  1989. Guide for selecting Mannings’s roughness coefficients for natural channels and floodplains.  Water-Supply Paper 2339, U.S. Geological Survey, Washington, DC.</t>
  </si>
  <si>
    <t>The effectiveness for extending flow duration into drier parts of a growing season.</t>
  </si>
  <si>
    <t>Hazlett, P., K. Broad, A. Gordon, P. Sibley, J. Buttle, and D. Larmer. 2008. The importance of catchment slope to soil water N and C concentrations in riparian zones: implications for riparian buffer width. Canadian Journal of Forest Research 38:16-30.</t>
  </si>
  <si>
    <t>Stressor subscore=</t>
  </si>
  <si>
    <r>
      <t xml:space="preserve">Atlantic salmon eggs and smolts are particularly sensitive to low pH (Rosseland et al. 2001, McCormick et al. 2012). </t>
    </r>
    <r>
      <rPr>
        <i/>
        <sz val="10"/>
        <rFont val="Arial Narrow"/>
        <family val="2"/>
      </rPr>
      <t xml:space="preserve"> If pH is between 5 and 9, the function score is set to 1, otherwise 0.5 if water is not tea-coloured, 0 if it is.</t>
    </r>
  </si>
  <si>
    <r>
      <t xml:space="preserve">Fewer resident fish thrive in acidic (low pH) wetlands and ponds. However, as pond size increases and they begin to resemble lakes, pH often increases and consequently the ability to support a wider array of fish (Rempel &amp; Colby 1991, Kimmel &amp; Argent 2010, Sutela et al. 2010). </t>
    </r>
    <r>
      <rPr>
        <i/>
        <sz val="10"/>
        <rFont val="Arial Narrow"/>
        <family val="2"/>
      </rPr>
      <t>If pH is between 7.5 and 9, the function score is set to 1, otherwise 0.5 if water is not tea-coloured, 0 if it is.</t>
    </r>
  </si>
  <si>
    <r>
      <t xml:space="preserve">In general, non-saline waters with greater TDS or conductivity are more fertile, are better-buffered against large changes in acidity, and potentially produce more fish (Rempel &amp; Colby 1991, Kimmel &amp; Argent 2010) but levels greater than about 2000 mg/L TDS are usually harmful (Weber-Scannell &amp; Duffy 2007). </t>
    </r>
    <r>
      <rPr>
        <i/>
        <sz val="10"/>
        <rFont val="Arial Narrow"/>
        <family val="2"/>
      </rPr>
      <t xml:space="preserve"> In calculations, assigned score of 0 if TDS&gt;2000 mg/L or conductivity&gt;4000 µS/cm or if plants indicate highly saline conditions.  Otherwise, is assigned score of 1 if TDS&gt;300 mg/L or conductivity is &gt;600 µS/cm.  All other measurements are assigned a score of 0.5.</t>
    </r>
  </si>
  <si>
    <r>
      <t xml:space="preserve">In general, non-saline waters with greater TDS or conductivity are more fertile, are better-buffered against large changes in acidity, and potentially produce greater biomass of aquatic invertebrates.   </t>
    </r>
    <r>
      <rPr>
        <i/>
        <sz val="10"/>
        <rFont val="Arial Narrow"/>
        <family val="2"/>
      </rPr>
      <t>In calculations, assigned score of 0 if TDS&gt;2000 mg/L or conductivity&gt;4000 µS/cm.  Otherwise, is assigned score of 1 if TDS&gt;300 mg/L or conductivity is &gt;600 µS/cm.  All other conditions are assigned a score of 0.5.</t>
    </r>
  </si>
  <si>
    <t>AVERAGE(Wettype, Acidity,Warmth, Fringe, Lake, Fish, Algae, TidalProx, Gradient)</t>
  </si>
  <si>
    <r>
      <t xml:space="preserve">Beaver are a key driver for increasing and maintaining open water area throughout a region (Hood &amp; Bayley 2008). </t>
    </r>
    <r>
      <rPr>
        <i/>
        <sz val="10"/>
        <rFont val="Arial Narrow"/>
        <family val="2"/>
      </rPr>
      <t xml:space="preserve">In calculations, is excluded automatically (cell goes blank) if wetland never has surface water during an average year. </t>
    </r>
  </si>
  <si>
    <t>Acid12</t>
  </si>
  <si>
    <r>
      <t xml:space="preserve">When non-acidic ponds are available, most duck species prefer to nest in those rather than acidic lakes and wetlands (Paquette &amp; Ankney 1996, Epners et al. 2010), and nestling survival of at least one species is less in low-pH wetlands (McAuley &amp; Longcore 1988). Fish-eating waterbirds in this region are most productive when nesting in non-acidic ponds (pH of 5.5 or greater, Parker et al. 1992), but in Maine sometimes nested in lakes that were more acidic (Gibbs et al. 1991). Some nesting waterbird species in Maine seemed unaffected by pond pH (Parker et al. 1992). </t>
    </r>
    <r>
      <rPr>
        <i/>
        <sz val="10"/>
        <rFont val="Arial Narrow"/>
        <family val="2"/>
      </rPr>
      <t>In calculations, the indicator score is set to 0 if pH is &lt;5 or if water is darkly tea-coloured; otherwise it is set to blank and ignored in the model calculations.</t>
    </r>
  </si>
  <si>
    <r>
      <t xml:space="preserve">Small mammals moving between wetlands are less likely to have their movements disrupted by lands with residual cover than in lands with impervious surface, but both are capable of hindering dispersal (Flaherty et al. 2008). </t>
    </r>
    <r>
      <rPr>
        <i/>
        <sz val="10"/>
        <rFont val="Arial Narrow"/>
        <family val="2"/>
      </rPr>
      <t>In calculations, is excluded automatically (cell goes blank) if F52 was answered "&gt;90%".</t>
    </r>
  </si>
  <si>
    <t>Human presence can attract crows and ravens which prey on nests. Dogs and house cats that prey on wetland songbirds and mammals also tend to be more prevalent in areas frequently visited by humans.</t>
  </si>
  <si>
    <r>
      <t xml:space="preserve">Under many circumstances, a pH of less than about 4.5 inhibits reproduction and growth of most amphibians (Freda 1986). However, a survey of 159 Nova Scotia wetlands and ponds found green frog tadpoles in a wetland with pH 3.9, and six of 11 amphibian species were found in at least one wetland with a pH of less than 4.5 (Dale et al. 1985). Wood frogs appeared to be the most acid-tolerant, overall. </t>
    </r>
    <r>
      <rPr>
        <i/>
        <sz val="10"/>
        <rFont val="Arial Narrow"/>
        <family val="2"/>
      </rPr>
      <t xml:space="preserve"> If pH is &lt;4, the indicator score is set to 0, or is set to 0.5 if the pH is between 4 and 5 or if water is darkly tea-coloured. Otherwise, score is set to 1. </t>
    </r>
  </si>
  <si>
    <r>
      <t xml:space="preserve">Food availability for most waterbird species in this region is greatest in wetlands whose pH is &gt;7.5 (basic pH) and significantly less where pH is less than about 6.5 (Hanson &amp; Calkins 1996).  </t>
    </r>
    <r>
      <rPr>
        <i/>
        <sz val="10"/>
        <rFont val="Arial Narrow"/>
        <family val="2"/>
      </rPr>
      <t xml:space="preserve">If pH is &lt;4, the indicator score is set to 0, or is set to 0.5 if the pH is between 4 and 7.5 or if water is darkly tea-coloured. Otherwise, score is set to 1. </t>
    </r>
  </si>
  <si>
    <r>
      <t xml:space="preserve">Acidity (pH) influences the species composition, diversity, and productivity of plants within this region's wetlands (Catling et al. 1986, Mullen et al. 2000). Although acidic wetlands tend to be less fertile, they often are the most diverse (e.g., Woodcock et al. 2005).  Especially when located near the coast, they often contain plant species that are regionally rare because they cannot withstand the competition present in less acidic, more fertile wetlands that occur more widely (Moore et al. 1989).  However, acidic lakes that are naturally stained by tannins ("brownwater lakes") have fewer submersed aquatic plant species because the stained water reduces underwater light (Kerekes &amp; Freedman 1989).  </t>
    </r>
    <r>
      <rPr>
        <i/>
        <sz val="10"/>
        <rFont val="Arial Narrow"/>
        <family val="2"/>
      </rPr>
      <t xml:space="preserve"> If pH is &lt;5.5, the indicator score is set to 1. Otherwise, this indicator is ignored in calculations.</t>
    </r>
  </si>
  <si>
    <r>
      <t xml:space="preserve">Nutrients, as represented indirectly by conductivity and/or TDS, directly influence the species composition (Srivastava et al. 1995), diversity, and productivity of plants within this region's wetlands, perhaps to a greater degree than acidity. In nearby regions, plant species richness in wetland quadrats declined with increasing nitrate and phosphorus (Houlahan et al. 2006), especially when conductivity exceeded ~400 µS/cm (Johnson &amp; Leopold 1994).  </t>
    </r>
    <r>
      <rPr>
        <i/>
        <sz val="10"/>
        <rFont val="Arial Narrow"/>
        <family val="2"/>
      </rPr>
      <t>In calculations, the score is set to 1 if TDS exceeds 220 mg/L or conductivity exceeds 400 uS/cm). In calculations, indicator is ignored if any other condition exists.</t>
    </r>
  </si>
  <si>
    <r>
      <t xml:space="preserve">Some types of surrounding land cover are more likely to produce propagules of invasive plants that may reduce native plant richness in an adjoining wetland. </t>
    </r>
    <r>
      <rPr>
        <i/>
        <sz val="10"/>
        <rFont val="Arial Narrow"/>
        <family val="2"/>
      </rPr>
      <t>In calculations, is excluded automatically (cell goes blank) if F52 was answered "&gt;90%".</t>
    </r>
  </si>
  <si>
    <r>
      <t>Low-pH wetlands are particularly sensitive to further acidification by acid rain.  They are often darkly tea-coloured due to tannins associated with humic acids.</t>
    </r>
    <r>
      <rPr>
        <i/>
        <sz val="10"/>
        <rFont val="Arial Narrow"/>
        <family val="2"/>
      </rPr>
      <t xml:space="preserve"> In calculations, the indicator score is set to 1 if pH is &lt;5 or if water is darkly tea-coloured; otherwise it is set to blank and ignored in the model calculations.</t>
    </r>
  </si>
  <si>
    <r>
      <t xml:space="preserve">Narrow outlets limit water outflow from a wetland and thus tend to cause the wetland to confine and accumulate sediment that has been washed in. The types of outlets described here are ones that typically are more constricted than natural channels. Natural channels usually have adjusted over time to local runoff and thus tend to be wider relative to volume of flow received. </t>
    </r>
    <r>
      <rPr>
        <i/>
        <sz val="10"/>
        <rFont val="Arial Narrow"/>
        <family val="2"/>
      </rPr>
      <t>In calculations, is excluded automatically (cell goes blank) if no outlet.</t>
    </r>
  </si>
  <si>
    <t xml:space="preserve">Wetlands with lower conductivity or TDS generally (but not always) have lower alkalinity, which otherwise would buffer the wetland's chemistry against large changes induced by acid rain.  In calculations, the indicator score is set to 1 if TDS&lt;300 mg/L or conductivity is &lt;600 µS/cm or if water is darkly tea-coloured; otherwise it is set to blank and ignored in the model calculations.  </t>
  </si>
  <si>
    <t>Hanson, A.R. and L. Calkins. 1996. Wetlands of the Maritime Provinces: Revised Documentation for the Wetlands Inventory. Technical Report Series Number 267.  Environment Canada, Ottawa, Ontario.</t>
  </si>
  <si>
    <t>Consider the connection regardless of whether the surface water is frozen. The "downslope stream network" could consist of ditches, rivers, ponds, or lakes which eventually connect to the ocean. If this cannot be determined while visiting the AA, consult topographic maps perhaps by viewing these online with Toporama (http://atlas.nrcan.gc.ca/toporama/en/index.html)  [CS, FA, FR, NR, OE, PR, Sens, SFS, SR, WCv, WS]</t>
  </si>
  <si>
    <r>
      <t xml:space="preserve">This indicator is similar to the one above but focuses specifically on the type of unsuitable land cover closest to the wetland. </t>
    </r>
    <r>
      <rPr>
        <i/>
        <sz val="10"/>
        <rFont val="Arial Narrow"/>
        <family val="2"/>
      </rPr>
      <t>In calculations, is excluded automatically (cell goes blank) if F52 was answered "&gt;90%".</t>
    </r>
  </si>
  <si>
    <r>
      <t>The type as well as the amount of upland cover near the wetland is important to nesting waterbirds. Impervious surfaces are unusable, whereas some low-intensity rural lands can provide marginally suitable cover.</t>
    </r>
    <r>
      <rPr>
        <i/>
        <sz val="10"/>
        <rFont val="Arial Narrow"/>
        <family val="2"/>
      </rPr>
      <t xml:space="preserve"> In calculations, is excluded automatically (cell goes blank) if F52 was answered "&gt;90%".</t>
    </r>
  </si>
  <si>
    <t>Preferably, measure this in larger areas of ponded surface water within the AA, or in streams that have passed through (not along) most of the AA. Unless surface water is completely absent, do not dig holes or make depressions in peat in order to provide water for this measurement.  Avoid measuring near roads or in puddles formed only by recent rain. [AM, FA, FR, NR, WBF, PH, PR, Sens, WBF, WBN]</t>
  </si>
  <si>
    <r>
      <t xml:space="preserve">&gt;90% of the land. </t>
    </r>
    <r>
      <rPr>
        <b/>
        <sz val="10"/>
        <rFont val="Arial Narrow"/>
        <family val="2"/>
        <scheme val="minor"/>
      </rPr>
      <t>SKIP to OF10.</t>
    </r>
  </si>
  <si>
    <t xml:space="preserve">&lt;50 m, and not separated by any width of paved roads, stretches of open water, row crops, lawn, bare ground, or impervious surface. </t>
  </si>
  <si>
    <r>
      <t xml:space="preserve">The distance from the AA center to the closest (but separate) </t>
    </r>
    <r>
      <rPr>
        <sz val="10"/>
        <rFont val="Arial Narrow"/>
        <family val="2"/>
        <scheme val="minor"/>
      </rPr>
      <t xml:space="preserve">non-tidal body of water that is ponded during most of the year and is </t>
    </r>
    <r>
      <rPr>
        <b/>
        <sz val="10"/>
        <rFont val="Arial Narrow"/>
        <family val="2"/>
        <scheme val="minor"/>
      </rPr>
      <t>larger than 8 hectares</t>
    </r>
    <r>
      <rPr>
        <sz val="10"/>
        <rFont val="Arial Narrow"/>
        <family val="2"/>
        <scheme val="minor"/>
      </rPr>
      <t xml:space="preserve"> during most of a normal year is:</t>
    </r>
  </si>
  <si>
    <t>During most of the year, open water within or adjacent to the vegetated part of the wetland is much wider than the maximum width of the vegetated zone within the wetland. Enter "1" if true, "0" if false.</t>
  </si>
  <si>
    <t>[FA, NR, Sens, SFSv, WCv, WSv]</t>
  </si>
  <si>
    <r>
      <rPr>
        <b/>
        <sz val="10"/>
        <rFont val="Arial Narrow"/>
        <family val="2"/>
      </rPr>
      <t>Deep Peat</t>
    </r>
    <r>
      <rPr>
        <sz val="10"/>
        <rFont val="Arial Narrow"/>
        <family val="2"/>
      </rPr>
      <t>, to 40 cm depth or greater.</t>
    </r>
  </si>
  <si>
    <r>
      <rPr>
        <b/>
        <sz val="10"/>
        <rFont val="Arial Narrow"/>
        <family val="2"/>
      </rPr>
      <t>Shallow Peat</t>
    </r>
    <r>
      <rPr>
        <sz val="10"/>
        <rFont val="Arial Narrow"/>
        <family val="2"/>
      </rPr>
      <t xml:space="preserve"> or organic &lt;40 cm deep. </t>
    </r>
  </si>
  <si>
    <r>
      <t xml:space="preserve">1-4% of the ponded water. Enter "1" and </t>
    </r>
    <r>
      <rPr>
        <b/>
        <sz val="10"/>
        <rFont val="Arial Narrow"/>
        <family val="2"/>
      </rPr>
      <t>SKIP to F41</t>
    </r>
    <r>
      <rPr>
        <sz val="10"/>
        <rFont val="Arial Narrow"/>
        <family val="2"/>
      </rPr>
      <t xml:space="preserve"> (Floating Algae &amp; Duckweed).</t>
    </r>
  </si>
  <si>
    <t>&lt;0.01 hectare (about 10 m x 10 m).</t>
  </si>
  <si>
    <t>0.01 - 0.1 hectare.</t>
  </si>
  <si>
    <t>0.1 - 1 hectare.</t>
  </si>
  <si>
    <t>1 to 10 hectares.</t>
  </si>
  <si>
    <t>10 to 100 hectares.</t>
  </si>
  <si>
    <t>&gt;100 hectares.</t>
  </si>
  <si>
    <t>100 to 1000 hectares.</t>
  </si>
  <si>
    <r>
      <t>&gt;1000 hectares. [</t>
    </r>
    <r>
      <rPr>
        <i/>
        <sz val="10"/>
        <rFont val="Arial Narrow"/>
        <family val="2"/>
        <scheme val="minor"/>
      </rPr>
      <t>This is nearly always the answer in relatively undeveloped landscapes.</t>
    </r>
    <r>
      <rPr>
        <sz val="10"/>
        <rFont val="Arial Narrow"/>
        <family val="2"/>
        <scheme val="minor"/>
      </rPr>
      <t>]</t>
    </r>
  </si>
  <si>
    <t>&lt;100 m.</t>
  </si>
  <si>
    <t>100 - 500 m.</t>
  </si>
  <si>
    <t>0.5- 1 km.</t>
  </si>
  <si>
    <t>1 - 5 km.</t>
  </si>
  <si>
    <t>&gt;5 km.</t>
  </si>
  <si>
    <t>&lt;10 m.</t>
  </si>
  <si>
    <t>10 - 25 m.</t>
  </si>
  <si>
    <t>25 - 50 m.</t>
  </si>
  <si>
    <t>50 - 100 m.</t>
  </si>
  <si>
    <t>&gt;500 m.</t>
  </si>
  <si>
    <t>100 m - 1 km.</t>
  </si>
  <si>
    <t>1 -2 km.</t>
  </si>
  <si>
    <t>2-5 km.</t>
  </si>
  <si>
    <t>5-10 km.</t>
  </si>
  <si>
    <t>&gt;10 km.</t>
  </si>
  <si>
    <t>10-40 km.</t>
  </si>
  <si>
    <t>&gt;40 km.</t>
  </si>
  <si>
    <t>0.01 to 0.1.</t>
  </si>
  <si>
    <t>0.1 to 1.</t>
  </si>
  <si>
    <t>&lt;10%.</t>
  </si>
  <si>
    <t>10 to 25%.</t>
  </si>
  <si>
    <t>&gt;25%.</t>
  </si>
  <si>
    <t>Mostly true.</t>
  </si>
  <si>
    <t>Somewhat true.</t>
  </si>
  <si>
    <t>Mostly untrue.</t>
  </si>
  <si>
    <t>10 - 50 m.</t>
  </si>
  <si>
    <t>100 - 1000 m.</t>
  </si>
  <si>
    <t>1- 2 km.</t>
  </si>
  <si>
    <r>
      <t xml:space="preserve">The AA is part of or contiguous to a wetland on which public or private organizational funds were spent to preserve, create, restore, or enhance the wetland (excluding mitigation wetlands). Ask the property owner. Enter: yes= 1, no= 0. If no information, change to </t>
    </r>
    <r>
      <rPr>
        <b/>
        <sz val="10"/>
        <rFont val="Arial Narrow"/>
        <family val="2"/>
        <scheme val="minor"/>
      </rPr>
      <t>blank</t>
    </r>
    <r>
      <rPr>
        <sz val="10"/>
        <rFont val="Arial Narrow"/>
        <family val="2"/>
        <scheme val="minor"/>
      </rPr>
      <t xml:space="preserve"> (not 0).</t>
    </r>
  </si>
  <si>
    <r>
      <t xml:space="preserve">Plants, animals, or water in the AA have been monitored for &gt;2 years, unrelated to any regulatory requirements, and data are available to the public. Or the AA is part of an area that has been designated by an agency or institution as a benchmark, reference, or status-trends monitoring area.  Ask the property owner.  Enter: yes= 1, no= 0. If no information, change to </t>
    </r>
    <r>
      <rPr>
        <b/>
        <sz val="10"/>
        <rFont val="Arial Narrow"/>
        <family val="2"/>
        <scheme val="minor"/>
      </rPr>
      <t>blank</t>
    </r>
    <r>
      <rPr>
        <sz val="10"/>
        <rFont val="Arial Narrow"/>
        <family val="2"/>
        <scheme val="minor"/>
      </rPr>
      <t>.</t>
    </r>
  </si>
  <si>
    <t>Ponded Water &amp; Wetland Within 1 km.</t>
  </si>
  <si>
    <r>
      <t xml:space="preserve">&lt;50 m, and not separated from the 375-ha vegetated area by any width of </t>
    </r>
    <r>
      <rPr>
        <b/>
        <sz val="10"/>
        <rFont val="Arial Narrow"/>
        <family val="2"/>
        <scheme val="minor"/>
      </rPr>
      <t>paved</t>
    </r>
    <r>
      <rPr>
        <sz val="10"/>
        <rFont val="Arial Narrow"/>
        <family val="2"/>
        <scheme val="minor"/>
      </rPr>
      <t xml:space="preserve"> roads, stretches of open water, row crops, bare ground, lawn, or impervious surface. Or the AA itself contains &gt;375 ha of vegetation. [This is often the answer in relatively undeveloped landscapes.]</t>
    </r>
  </si>
  <si>
    <t>None of the above (the closest patches or corridors which are that large are &gt;5 km away).</t>
  </si>
  <si>
    <t>Impervious surface, e.g., paved road, parking lot, building, exposed rock.</t>
  </si>
  <si>
    <t>Bare pervious surface, e.g., lawn, recent (&lt;5 yrs ago) clearcut, dirt or gravel road, cropland, landslide, conifer plantation.</t>
  </si>
  <si>
    <r>
      <t xml:space="preserve">Draw a circle of radius of 5 km from the center of the AA. If mammals and amphibians can move from the center of the AA to ALL other separate wetlands and ponds located within the circle without being forced to cross pavement (any width), lawns, bare ground, and/or marine waters, mark 1= yes can move to all, 0= no.  Change to </t>
    </r>
    <r>
      <rPr>
        <b/>
        <sz val="10"/>
        <rFont val="Arial Narrow"/>
        <family val="2"/>
        <scheme val="minor"/>
      </rPr>
      <t>blank</t>
    </r>
    <r>
      <rPr>
        <sz val="10"/>
        <rFont val="Arial Narrow"/>
        <family val="2"/>
        <scheme val="minor"/>
      </rPr>
      <t xml:space="preserve"> if there are no other wetlands within 5 km.</t>
    </r>
  </si>
  <si>
    <t>None of the above (the closest patches or corridors that large are &gt;1 km away).</t>
  </si>
  <si>
    <t>Other (E, SE, W, NW), or no detectable uphill slope or input channel (flat).</t>
  </si>
  <si>
    <t>Has not been documented to support Atlantic salmon rearing and/or spawning, but is connected to nearby waters likely to contain Atlantic salmon or other anadromous species or eels and is probably accessed by those during some conditions.</t>
  </si>
  <si>
    <r>
      <t xml:space="preserve">Is probably is not accessed by any anadromous fish species but is known or likely to have </t>
    </r>
    <r>
      <rPr>
        <b/>
        <sz val="10"/>
        <rFont val="Arial Narrow"/>
        <family val="2"/>
        <scheme val="minor"/>
      </rPr>
      <t>other fish</t>
    </r>
    <r>
      <rPr>
        <sz val="10"/>
        <rFont val="Arial Narrow"/>
        <family val="2"/>
        <scheme val="minor"/>
      </rPr>
      <t xml:space="preserve"> at least seasonally.</t>
    </r>
    <r>
      <rPr>
        <u/>
        <sz val="10"/>
        <rFont val="Times New Roman"/>
        <family val="2"/>
      </rPr>
      <t/>
    </r>
  </si>
  <si>
    <t xml:space="preserve">Is known or likely to be fishless (e.g., too small, dry, and/or not accessible even temporarily, and not stocked). </t>
  </si>
  <si>
    <t>None of the above, or no data.</t>
  </si>
  <si>
    <r>
      <t xml:space="preserve">In Google Earth, open the KMZ file that accompanies this calculator, called BlackDuck.  Adjust its alignment and opacity. Determine the predicted density (pairs per 25 sq. km) of nesting American Black Duck in the AA's vicinity: &lt;10 (enter 0), 10-20 (enter 1), 20-30 (enter 2), &gt;30 (enter 3).  If outside of region shown in map, change to </t>
    </r>
    <r>
      <rPr>
        <b/>
        <sz val="10"/>
        <rFont val="Arial Narrow"/>
        <family val="2"/>
        <scheme val="minor"/>
      </rPr>
      <t>blank</t>
    </r>
    <r>
      <rPr>
        <sz val="10"/>
        <rFont val="Arial Narrow"/>
        <family val="2"/>
        <scheme val="minor"/>
      </rPr>
      <t>.</t>
    </r>
  </si>
  <si>
    <t>Ownership is public (e.g., municipal, Crown Reservations/Notations) but some or all of the above activities are allowed.</t>
  </si>
  <si>
    <t>Ownership is private but public access is allowed, and/or a shorter-term conservation easement (whether renewable or not) is in place.</t>
  </si>
  <si>
    <t>Ownership is private and owner does not allow access, or access permission unknown, and not a conservation easement.</t>
  </si>
  <si>
    <t xml:space="preserve">The AA's vegetation cover is &gt;10% herbaceous* but uplands within 5 km have &lt;10% herbaceous cover. If so, enter "3" and continue to OF7.  If not, consider: 
The AA's vegetation cover is &gt;10% herbaceous* but uplands within 1 km have &lt;10% herbaceous cover. If so enter "2" and continue to OF7.  If not, consider: 
The AA's vegetation cover is &gt;10% herbaceous* but uplands within 100 m of the wetland edge have &lt;10% herbaceous cover.  If so, enter "1".
[* NOTE: Exclude lawns, row crops, heavily grazed lands, forest, shrublands. Include moss as well as grasslike plants in this use of "herbaceous vegetation"]
</t>
  </si>
  <si>
    <t>[AM, NR, SFS, WC, WS]</t>
  </si>
  <si>
    <t>[FA, INV, NRv, PRv, SRv, STR, WCv, WSv]</t>
  </si>
  <si>
    <t>"Private lands" may include those owned or leased by non-governmental organizations, e.g., charitable conservation land trusts, DUC, TNC.  [PU, STR]</t>
  </si>
  <si>
    <r>
      <rPr>
        <b/>
        <i/>
        <u/>
        <sz val="11"/>
        <rFont val="Arial Narrow"/>
        <family val="2"/>
      </rPr>
      <t>Reminder</t>
    </r>
    <r>
      <rPr>
        <i/>
        <sz val="11"/>
        <rFont val="Arial Narrow"/>
        <family val="2"/>
      </rPr>
      <t>: For all questions, the AA should include all persistent waters in ponds smaller than 8 hectares (~283 m on a side) that are adjacent to the AA.  The AA should also include part of the water area of adjacent ponded water larger than 8 ha and adjacent rivers wider than 20 m. Specifically, the AA should include the open water part adjacent to wetland vegetation and equal in width to the average width of that vegetated zone. Throughout this data form, "</t>
    </r>
    <r>
      <rPr>
        <b/>
        <i/>
        <sz val="11"/>
        <rFont val="Arial Narrow"/>
        <family val="2"/>
      </rPr>
      <t>adjacent</t>
    </r>
    <r>
      <rPr>
        <i/>
        <sz val="11"/>
        <rFont val="Arial Narrow"/>
        <family val="2"/>
      </rPr>
      <t>" is used synonymously with abutting, adjoining, bordering, contiguous -- and means no upland (manmade or natural) completely separates the described features along their directly shared edge.  Features joined only by a channel are not necessarily considered to be adjacent -- a large portion of their edges must match.  The features do not have to be hydrologically connected in order to be considered adjacent.</t>
    </r>
  </si>
  <si>
    <r>
      <rPr>
        <i/>
        <u/>
        <sz val="11"/>
        <rFont val="Arial Narrow"/>
        <family val="2"/>
      </rPr>
      <t>Note</t>
    </r>
    <r>
      <rPr>
        <i/>
        <sz val="11"/>
        <rFont val="Arial Narrow"/>
        <family val="2"/>
      </rPr>
      <t xml:space="preserve">:  </t>
    </r>
    <r>
      <rPr>
        <i/>
        <sz val="11"/>
        <color rgb="FFFF0000"/>
        <rFont val="Arial Narrow"/>
        <family val="2"/>
      </rPr>
      <t>If none of top 4 rows in F3 was marked 2 or greater</t>
    </r>
    <r>
      <rPr>
        <i/>
        <sz val="11"/>
        <rFont val="Arial Narrow"/>
        <family val="2"/>
      </rPr>
      <t>,</t>
    </r>
    <r>
      <rPr>
        <b/>
        <i/>
        <sz val="11"/>
        <rFont val="Arial Narrow"/>
        <family val="2"/>
      </rPr>
      <t xml:space="preserve">SKIP to F9 </t>
    </r>
    <r>
      <rPr>
        <i/>
        <sz val="11"/>
        <rFont val="Arial Narrow"/>
        <family val="2"/>
      </rPr>
      <t xml:space="preserve">(N fixers). </t>
    </r>
  </si>
  <si>
    <r>
      <rPr>
        <b/>
        <u/>
        <sz val="11"/>
        <rFont val="Arial Narrow"/>
        <family val="2"/>
      </rPr>
      <t>Note</t>
    </r>
    <r>
      <rPr>
        <b/>
        <sz val="11"/>
        <rFont val="Arial Narrow"/>
        <family val="2"/>
      </rPr>
      <t xml:space="preserve"> for the next three questions</t>
    </r>
    <r>
      <rPr>
        <sz val="11"/>
        <rFont val="Arial Narrow"/>
        <family val="2"/>
      </rPr>
      <t>: If the AA lacks an upland edge, evaluate based on the AA's entire perimeter, and moving outward into whatever areas are adjacent.  In many situations, these questions are best answered by measuring from aerial images.</t>
    </r>
  </si>
  <si>
    <t>A1.</t>
  </si>
  <si>
    <t>A2.</t>
  </si>
  <si>
    <t>B1.</t>
  </si>
  <si>
    <t>B2.</t>
  </si>
  <si>
    <t>&lt;1% or none.</t>
  </si>
  <si>
    <t>&lt;1 m.</t>
  </si>
  <si>
    <t>1 - 9 m.</t>
  </si>
  <si>
    <t>10 - 29 m.</t>
  </si>
  <si>
    <t>30 - 49 m.</t>
  </si>
  <si>
    <r>
      <t>The most persistent surface water connection (outlet channel or pipe, ditch, or overbank water exchange) between the AA and a downslope stream network is: [</t>
    </r>
    <r>
      <rPr>
        <u/>
        <sz val="10"/>
        <rFont val="Arial Narrow"/>
        <family val="2"/>
      </rPr>
      <t>Note</t>
    </r>
    <r>
      <rPr>
        <sz val="10"/>
        <rFont val="Arial Narrow"/>
        <family val="2"/>
      </rPr>
      <t xml:space="preserve">: If the AA represents only part of a wetland, answer this according to whichever is the </t>
    </r>
    <r>
      <rPr>
        <b/>
        <sz val="10"/>
        <rFont val="Arial Narrow"/>
        <family val="2"/>
      </rPr>
      <t xml:space="preserve">least </t>
    </r>
    <r>
      <rPr>
        <sz val="10"/>
        <rFont val="Arial Narrow"/>
        <family val="2"/>
      </rPr>
      <t>permanent surface connection: the one between the AA and the rest of the wetland, or the surface connection between the wetland and the downslope stream network.]</t>
    </r>
  </si>
  <si>
    <t>Select first applicable choice:</t>
  </si>
  <si>
    <r>
      <t xml:space="preserve">&lt;2% </t>
    </r>
    <r>
      <rPr>
        <b/>
        <sz val="10"/>
        <rFont val="Arial Narrow"/>
        <family val="2"/>
      </rPr>
      <t>or</t>
    </r>
    <r>
      <rPr>
        <sz val="10"/>
        <rFont val="Arial Narrow"/>
        <family val="2"/>
      </rPr>
      <t xml:space="preserve"> the AA has no surface water outlet (not even seasonally).</t>
    </r>
  </si>
  <si>
    <t>2-5%.</t>
  </si>
  <si>
    <t>6-10%.</t>
  </si>
  <si>
    <t>&gt;10%.</t>
  </si>
  <si>
    <t>&lt;5%.</t>
  </si>
  <si>
    <t>5 to 30%.</t>
  </si>
  <si>
    <t>30 to 60%.</t>
  </si>
  <si>
    <t>60 to 90%.</t>
  </si>
  <si>
    <t>5-30%.</t>
  </si>
  <si>
    <t>&gt;30%.</t>
  </si>
  <si>
    <t>&lt;25%.</t>
  </si>
  <si>
    <t>25-50%.</t>
  </si>
  <si>
    <t>&gt;50%.</t>
  </si>
  <si>
    <r>
      <t>The percentage of the AA almost never visited by humans during an average growing season probably comprises:</t>
    </r>
    <r>
      <rPr>
        <i/>
        <sz val="10"/>
        <rFont val="Arial Narrow"/>
        <family val="2"/>
      </rPr>
      <t xml:space="preserve"> [</t>
    </r>
    <r>
      <rPr>
        <i/>
        <u/>
        <sz val="10"/>
        <rFont val="Arial Narrow"/>
        <family val="2"/>
      </rPr>
      <t>Note:</t>
    </r>
    <r>
      <rPr>
        <i/>
        <sz val="10"/>
        <rFont val="Arial Narrow"/>
        <family val="2"/>
      </rPr>
      <t xml:space="preserv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t>
    </r>
  </si>
  <si>
    <r>
      <t xml:space="preserve">The part of the AA visited by humans almost daily for several weeks during an average growing season probably comprises:  </t>
    </r>
    <r>
      <rPr>
        <i/>
        <sz val="10"/>
        <rFont val="Arial Narrow"/>
        <family val="2"/>
      </rPr>
      <t>[See note above.]</t>
    </r>
  </si>
  <si>
    <t>5-50%.</t>
  </si>
  <si>
    <t>50-95%.</t>
  </si>
  <si>
    <r>
      <t xml:space="preserve">The AA is, or is part of, a calcareous fen. See the Plants_Calcar worksheet in the accompanying SuppInfo file for list of plant indicators (calciphiles). Enter 1 If more than two Strong or more than five Moderate calciphile species are present; otherwise enter 0, but if not able to identify those </t>
    </r>
    <r>
      <rPr>
        <b/>
        <sz val="10"/>
        <rFont val="Arial Narrow"/>
        <family val="2"/>
      </rPr>
      <t>and</t>
    </r>
    <r>
      <rPr>
        <sz val="10"/>
        <rFont val="Arial Narrow"/>
        <family val="2"/>
      </rPr>
      <t xml:space="preserve"> no information, change to </t>
    </r>
    <r>
      <rPr>
        <b/>
        <sz val="10"/>
        <rFont val="Arial Narrow"/>
        <family val="2"/>
      </rPr>
      <t>blank</t>
    </r>
    <r>
      <rPr>
        <sz val="10"/>
        <rFont val="Arial Narrow"/>
        <family val="2"/>
      </rPr>
      <t xml:space="preserve">. </t>
    </r>
  </si>
  <si>
    <r>
      <t>In parts of the AA that lack persistent water, the texture of soil in the uppermost layer is mostly:  [</t>
    </r>
    <r>
      <rPr>
        <i/>
        <sz val="10"/>
        <rFont val="Arial Narrow"/>
        <family val="2"/>
      </rPr>
      <t xml:space="preserve">To determine this, use a trowel to check in at least 3 widely spaced locations, and use the soil texture key (in Appendix A of the Manual).] </t>
    </r>
  </si>
  <si>
    <t>During any 2 consecutive weeks of the growing season, the extent of mudflats, bare unshaded saturated areas not covered by thatch, and unshaded waters shallower than 6 cm is:  [Include also any area that is adjacent to the AA.]</t>
  </si>
  <si>
    <t>None, or &lt;100 sq. m.</t>
  </si>
  <si>
    <r>
      <t xml:space="preserve">None. The AA dries up completely (no water in channels either) or never has surface water during most years.  </t>
    </r>
    <r>
      <rPr>
        <b/>
        <sz val="10"/>
        <rFont val="Arial Narrow"/>
        <family val="2"/>
      </rPr>
      <t>SKIP to F27.</t>
    </r>
  </si>
  <si>
    <t>Persistent (surface water flows out for &gt;9 months/year).</t>
  </si>
  <si>
    <t>Seasonal (surface water flows out for 14 days to 9 months/year, not necessarily consecutive).</t>
  </si>
  <si>
    <t>Temporary (surface water flows out for &lt;14 days, not necessarily consecutive).</t>
  </si>
  <si>
    <r>
      <t>None -- but maps show a stream network downslope from the AA and within a distance that is less than the AA's length.</t>
    </r>
    <r>
      <rPr>
        <b/>
        <sz val="10"/>
        <rFont val="Arial Narrow"/>
        <family val="2"/>
      </rPr>
      <t xml:space="preserve"> SKIP to F47 </t>
    </r>
    <r>
      <rPr>
        <sz val="10"/>
        <rFont val="Arial Narrow"/>
        <family val="2"/>
      </rPr>
      <t>(pH Measurement).</t>
    </r>
  </si>
  <si>
    <r>
      <t>No surface water flows out of the wetland except possibly during extreme events (&lt;once per 10 years). Or, water flows only into a wetland, ditch, or lake that lacks an outlet.</t>
    </r>
    <r>
      <rPr>
        <b/>
        <sz val="10"/>
        <rFont val="Arial Narrow"/>
        <family val="2"/>
      </rPr>
      <t xml:space="preserve"> SKIP to F47 </t>
    </r>
    <r>
      <rPr>
        <sz val="10"/>
        <rFont val="Arial Narrow"/>
        <family val="2"/>
      </rPr>
      <t>(pH Measurement).</t>
    </r>
  </si>
  <si>
    <t>Mostly passes through a pipe, culvert, narrowly breached dike, berm, beaver dam, or other partial obstruction (other than natural topography) that does not appear to drain the wetland artificially during most of the growing season.</t>
  </si>
  <si>
    <t>Leaves through natural exits (channels or diffuse outflow), not mainly through artificial or temporary features.</t>
  </si>
  <si>
    <t>Is exported more quickly than usual due to ditches or pipes within the AA or connected to its outlet, or within 10 m of the AA's edge, which drain the wetland artificially, or water is pumped out of the AA.</t>
  </si>
  <si>
    <r>
      <t>Bumps into</t>
    </r>
    <r>
      <rPr>
        <b/>
        <sz val="10"/>
        <rFont val="Arial Narrow"/>
        <family val="2"/>
      </rPr>
      <t xml:space="preserve"> herbaceous </t>
    </r>
    <r>
      <rPr>
        <sz val="10"/>
        <rFont val="Arial Narrow"/>
        <family val="2"/>
      </rPr>
      <t>vegetation but mostly remains in fairly straight channels.</t>
    </r>
  </si>
  <si>
    <r>
      <t>Bumps into</t>
    </r>
    <r>
      <rPr>
        <b/>
        <sz val="10"/>
        <rFont val="Arial Narrow"/>
        <family val="2"/>
      </rPr>
      <t xml:space="preserve"> herbaceous </t>
    </r>
    <r>
      <rPr>
        <sz val="10"/>
        <rFont val="Arial Narrow"/>
        <family val="2"/>
      </rPr>
      <t>vegetation and mostly spreads throughout, or is in widely meandering, multi-branched, or braided channels.</t>
    </r>
  </si>
  <si>
    <r>
      <t>Bumps into</t>
    </r>
    <r>
      <rPr>
        <b/>
        <sz val="10"/>
        <rFont val="Arial Narrow"/>
        <family val="2"/>
      </rPr>
      <t xml:space="preserve"> tree trunks and/or shrub stems </t>
    </r>
    <r>
      <rPr>
        <sz val="10"/>
        <rFont val="Arial Narrow"/>
        <family val="2"/>
      </rPr>
      <t>but mostly remains in fairly straight channels.</t>
    </r>
  </si>
  <si>
    <r>
      <t xml:space="preserve">Bumps into tree trunks and/or shrub stems and follows a fairly </t>
    </r>
    <r>
      <rPr>
        <b/>
        <sz val="10"/>
        <rFont val="Arial Narrow"/>
        <family val="2"/>
      </rPr>
      <t>indirect</t>
    </r>
    <r>
      <rPr>
        <sz val="10"/>
        <rFont val="Arial Narrow"/>
        <family val="2"/>
      </rPr>
      <t xml:space="preserve"> path from entrance to exit (meandering, multi-branched, or braided).</t>
    </r>
  </si>
  <si>
    <r>
      <t>Was measured, and is:  [</t>
    </r>
    <r>
      <rPr>
        <i/>
        <sz val="10"/>
        <rFont val="Arial Narrow"/>
        <family val="2"/>
      </rPr>
      <t>enter the reading in the column to the right.</t>
    </r>
    <r>
      <rPr>
        <sz val="10"/>
        <rFont val="Arial Narrow"/>
        <family val="2"/>
      </rPr>
      <t>]</t>
    </r>
  </si>
  <si>
    <t xml:space="preserve">Was not measured but surface water is present and is darkly tea-coloured.  Or if no surface water, then mosses and plants that indicate peatland (e.g., Labrador tea) are prevalent. Enter "1". </t>
  </si>
  <si>
    <t>Neither of above. Enter "1".</t>
  </si>
  <si>
    <t>Was not measured, but plants that indicate saline conditions cover much of the vegetated AA. Enter "1".</t>
  </si>
  <si>
    <t>Neither of above</t>
  </si>
  <si>
    <r>
      <t xml:space="preserve">Evident </t>
    </r>
    <r>
      <rPr>
        <sz val="10"/>
        <rFont val="Arial Narrow"/>
        <family val="2"/>
      </rPr>
      <t>from direct observation or presence of gnawed limbs, dams, tracks, dens, lodges, or extensive stands of water-killed trees (snags).</t>
    </r>
  </si>
  <si>
    <r>
      <t>Likely</t>
    </r>
    <r>
      <rPr>
        <sz val="10"/>
        <rFont val="Arial Narrow"/>
        <family val="2"/>
      </rPr>
      <t xml:space="preserve">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t>
    </r>
  </si>
  <si>
    <t xml:space="preserve">Unlikely because site characteristics above are deficient, and/or this is a settled area or other area where beaver are routinely removed. </t>
  </si>
  <si>
    <t>Bare or nearly bare pervious surface or managed vegetation, e.g., lawn, row crops, unpaved road, dike, landslide.</t>
  </si>
  <si>
    <t xml:space="preserve">Yes, and created or expanded 20 - 100 years ago. </t>
  </si>
  <si>
    <t>Yes, and created or expanded 3-20 years ago.</t>
  </si>
  <si>
    <t>Yes, and created or expanded within last 3 years.</t>
  </si>
  <si>
    <t>Yes, but time of origin or expansion unknown.</t>
  </si>
  <si>
    <t>Unknown if new or expanded within 20 years or not.</t>
  </si>
  <si>
    <t>Burned within past 5 years.</t>
  </si>
  <si>
    <t>Burned 6-10 years ago.</t>
  </si>
  <si>
    <t>Burned 11-30 years ago.</t>
  </si>
  <si>
    <t>Burned &gt;30 years ago, or no evidence of a burn and no data.</t>
  </si>
  <si>
    <t>Low-impact commercial timber harvest (e.g., selective thinning).</t>
  </si>
  <si>
    <t>Commercial or traditional-use harvesting of native plants, their fruits, or mushrooms.</t>
  </si>
  <si>
    <t>Waterfowl hunting.</t>
  </si>
  <si>
    <t>Fishing.</t>
  </si>
  <si>
    <t>Trapping of furbearers.</t>
  </si>
  <si>
    <t>None of the above.</t>
  </si>
  <si>
    <t>100-500 m. away.</t>
  </si>
  <si>
    <t>Within 0-100 m. of the AA.</t>
  </si>
  <si>
    <t>&gt;500 m. away, or no information.</t>
  </si>
  <si>
    <t xml:space="preserve"> [WBF, WBN, WCv]</t>
  </si>
  <si>
    <t>If a boat is unavailable, estimate this by considering wetland size and local topography.  Or if timing and safety allow, depths may be measured by drilling through winter ice.This question is asking about the spatial median depth that occurs during most of that time, even if inundation is only seasonal or temporary. If inundation in most but not all of the wetland is brief, the answer will be based on the depth of the most persistently inundated part of the wetland. Include surface water in channels and ditches as well as ponded areas.  [CS, FA, FR, INV, OE, PH, PR, Sens, SFS, SR, WBF, WBN, WC]</t>
  </si>
  <si>
    <t xml:space="preserve"> [AM, CS, FA, FR, INV, NR, OE, PR, SR, WBF, WBN, WC]</t>
  </si>
  <si>
    <t>Adhere to these criteria strictly -- do not use personal judgment based on fen conditions, pH, or other evidence.  Consult topographic maps to detect breaks in slope described here. Rust deposits associated with groundwater seeps may be most noticeable as orange discoloration in ice formations along streams during early winter. [AM, CS, FA, FR, INV, NR, OE, PH, PRv, SFS, WC, WS]</t>
  </si>
  <si>
    <t>Score the following 2 rows only if the altered inputs began within past 10 years, and only for the part of the wetland that experiences those.</t>
  </si>
  <si>
    <t>0 - 15 m.</t>
  </si>
  <si>
    <r>
      <t xml:space="preserve">* </t>
    </r>
    <r>
      <rPr>
        <b/>
        <sz val="10"/>
        <rFont val="Arial Narrow"/>
        <family val="2"/>
      </rPr>
      <t>high</t>
    </r>
    <r>
      <rPr>
        <sz val="10"/>
        <rFont val="Arial Narrow"/>
        <family val="2"/>
      </rPr>
      <t xml:space="preserve">-intensity= extensive off-road vehicle use, plowing, grading, excavation, erosion with or without veg removal; </t>
    </r>
    <r>
      <rPr>
        <b/>
        <sz val="10"/>
        <rFont val="Arial Narrow"/>
        <family val="2"/>
      </rPr>
      <t xml:space="preserve"> low</t>
    </r>
    <r>
      <rPr>
        <sz val="10"/>
        <rFont val="Arial Narrow"/>
        <family val="2"/>
      </rPr>
      <t>-intensity= veg removal only with little or no apparent erosion or disturbance of soil or sediment.</t>
    </r>
  </si>
  <si>
    <t>15-100 m.</t>
  </si>
  <si>
    <t xml:space="preserve">  Stormwater from impervious surfaces that drains directly to the wetland.</t>
  </si>
  <si>
    <t xml:space="preserve">  Water subsidies from wastewater effluent, septic system leakage, snow storage areas, or irrigation.</t>
  </si>
  <si>
    <t xml:space="preserve">  Regular removal of surface or groundwater for irrigation or other consumptive use.</t>
  </si>
  <si>
    <t xml:space="preserve">  Flow regulation in tributaries or water level regulation in adjoining water body, or other control structure at water entry points that regulates inflow to the wetland.</t>
  </si>
  <si>
    <t xml:space="preserve">  A dam, dike, levee, weir, berm, or fill -- within or downgradient from the wetland -- that interferes with surface or subsurface flow in/out of the AA (e.g., road fill, wellpads, pipelines).</t>
  </si>
  <si>
    <t xml:space="preserve">  Excavation within the wetland, e.g., dugout, artificial pond, dead-end ditch.</t>
  </si>
  <si>
    <t xml:space="preserve">  Artificial drains or ditches in or near the wetland.</t>
  </si>
  <si>
    <t xml:space="preserve">  Accelerated downcutting or channelization of an adjacent or internal channel (incised below the historical water table level).</t>
  </si>
  <si>
    <t xml:space="preserve">  Logging within the wetland.</t>
  </si>
  <si>
    <t xml:space="preserve">  Subsidence or compaction of the wetland's substrate as a result of machinery, livestock, fire, drainage, or off road vehicles.</t>
  </si>
  <si>
    <t xml:space="preserve">  Straightening, ditching, dredging, and/or lining of tributary channels.</t>
  </si>
  <si>
    <t>Spatial extent of timing shift within the wetland:</t>
  </si>
  <si>
    <t>When most of the timing shift began:</t>
  </si>
  <si>
    <t>Input timing now vs. previously:</t>
  </si>
  <si>
    <t>Flashiness or muting:</t>
  </si>
  <si>
    <t xml:space="preserve">  Stormwater or wastewater effluent (including failing septic systems), landfills, industrial facilities.</t>
  </si>
  <si>
    <t xml:space="preserve">  Metals &amp; chemical wastes from mining, shooting ranges, snow storage areas, oil/ gas extraction, other sources (download many locations from National Pollutant Release Inventory and view KMZ overlay in Google Earth. https://www.ec.gc.ca/inrp-npri/default.asp?lang=En&amp;n=B85A1846-1</t>
  </si>
  <si>
    <t xml:space="preserve">  Road salt.</t>
  </si>
  <si>
    <t xml:space="preserve">  Spraying of pesticides, as applied to lawns, croplands, roadsides, or other areas in the CA.</t>
  </si>
  <si>
    <t>Usual toxicity of most toxic contaminants:</t>
  </si>
  <si>
    <t>Frequency &amp; duration of input:</t>
  </si>
  <si>
    <t>AA proximity to main sources (actual or potential):</t>
  </si>
  <si>
    <t xml:space="preserve">  Stormwater or wastewater effluent (including failing septic systems), landfills.</t>
  </si>
  <si>
    <t xml:space="preserve">  Fertilizers applied to lawns, ag lands, or other areas in the CA.</t>
  </si>
  <si>
    <t xml:space="preserve">  Livestock, dogs.</t>
  </si>
  <si>
    <t xml:space="preserve">  Artificial drainage of upslope lands.</t>
  </si>
  <si>
    <t>Type of loading:</t>
  </si>
  <si>
    <t xml:space="preserve">  Erosion from plowed fields, fill, timber harvest, dirt roads, vegetation clearing, fires.</t>
  </si>
  <si>
    <t xml:space="preserve">  Erosion from construction, in-channel machinery in the CA.</t>
  </si>
  <si>
    <t xml:space="preserve">  Erosion from off-road vehicles in the CA.</t>
  </si>
  <si>
    <t xml:space="preserve">  Erosion from livestock or foot traffic in the CA.</t>
  </si>
  <si>
    <t xml:space="preserve">  Stormwater or wastewater effluent.</t>
  </si>
  <si>
    <t xml:space="preserve">  Sediment from road sanding, gravel mining, other mining, oil/ gas extraction.</t>
  </si>
  <si>
    <t xml:space="preserve">  Accelerated channel downcutting or headcutting of tributaries due to altered land use.</t>
  </si>
  <si>
    <t xml:space="preserve">  Other human-related disturbances within the CA.</t>
  </si>
  <si>
    <t>Erosion in CA:</t>
  </si>
  <si>
    <t>Recentness of significant soil disturbance in the CA:</t>
  </si>
  <si>
    <t>Duration of sediment inputs to the wetland:</t>
  </si>
  <si>
    <t>AA proximity to actual or potential sources:</t>
  </si>
  <si>
    <t xml:space="preserve">  Compaction from machinery, off-road vehicles, livestock, or mountain bikes, especially during wetter periods.</t>
  </si>
  <si>
    <t xml:space="preserve">  Leveling or other grading not to the natural contour.</t>
  </si>
  <si>
    <t xml:space="preserve">  Tillage, plowing (but excluding disking for enhancement of native plants).</t>
  </si>
  <si>
    <t xml:space="preserve">  Fill or riprap, excluding small amounts of upland soils containing organic amendments (compost, etc.) or small amounts of topsoil imported from another wetland.</t>
  </si>
  <si>
    <t xml:space="preserve">  Excavation.</t>
  </si>
  <si>
    <t xml:space="preserve">  Ditch cleaning or dredging in or adjacent to the wetland.</t>
  </si>
  <si>
    <t xml:space="preserve">  Boat traffic in or adjacent to the wetland and sufficient to cause shore erosion or stir bottom sediments.</t>
  </si>
  <si>
    <t xml:space="preserve">  Artificial water level or flow manipulations sufficient to cause erosion or stir bottom sediments.</t>
  </si>
  <si>
    <t>Spatial extent of altered soil:</t>
  </si>
  <si>
    <t>Recentness of significant soil alteration in wetland:</t>
  </si>
  <si>
    <t>Duration:</t>
  </si>
  <si>
    <t>Timing of soil alteration:</t>
  </si>
  <si>
    <t xml:space="preserve">&gt;95% of wetland. </t>
  </si>
  <si>
    <t>&lt;3 yrs ago.</t>
  </si>
  <si>
    <t>Shift of weeks.</t>
  </si>
  <si>
    <t>Became very flashy or controlled.</t>
  </si>
  <si>
    <t>5-95% of wetland.</t>
  </si>
  <si>
    <t>3-9 yrs ago.</t>
  </si>
  <si>
    <t>Shift of days.</t>
  </si>
  <si>
    <t>&lt;5% of wetland.</t>
  </si>
  <si>
    <t>10-100 yrs ago.</t>
  </si>
  <si>
    <t>Shift of hours or minutes.</t>
  </si>
  <si>
    <t>Became mildly flashy or controlled.</t>
  </si>
  <si>
    <t>Industrial effluent, mining waste, unmanaged landfill.</t>
  </si>
  <si>
    <t>Frequent and year-round.</t>
  </si>
  <si>
    <t>Cropland, managed landfill, pipeline or transmission rights-of-way.</t>
  </si>
  <si>
    <t>Frequent but mostly seasonal.</t>
  </si>
  <si>
    <t>15-100 m. or in groundwater.</t>
  </si>
  <si>
    <t>Low density residential.</t>
  </si>
  <si>
    <t>Infrequent &amp; during high runoff events mainly.</t>
  </si>
  <si>
    <t>In more distant part of contributing area.</t>
  </si>
  <si>
    <t>High density of unmaintained septic, some types of industrial sources.</t>
  </si>
  <si>
    <t>Moderate density septic, cropland, secondary wastewater treatment plant.</t>
  </si>
  <si>
    <t>Livestock, pets, low density residential.</t>
  </si>
  <si>
    <t>Current &amp; ongoing.</t>
  </si>
  <si>
    <t>Extensive evidence, high intensity.*</t>
  </si>
  <si>
    <t>Potentially (based on high-intensity* land use) or scattered evidence.</t>
  </si>
  <si>
    <t>1-12 months ago.</t>
  </si>
  <si>
    <t>Potentially (based on low-intensity* land use) with little or no direct evidence.</t>
  </si>
  <si>
    <t>&gt;1 yr ago.</t>
  </si>
  <si>
    <t>&gt;95% of wetland or &gt;95% of  its upland edge (if any).</t>
  </si>
  <si>
    <t>Long-lasting, minimal veg recovery.</t>
  </si>
  <si>
    <t>5-95% of wetland or 5-95% of its upland edge (if any).</t>
  </si>
  <si>
    <t>Long-lasting but mostly revegetated.</t>
  </si>
  <si>
    <t>&lt;5% of wetland and &lt;5% of its upland edge (if any).</t>
  </si>
  <si>
    <t>Short-term, revegetated, not intense.</t>
  </si>
  <si>
    <t>Mainly during one-time or scattered events.</t>
  </si>
  <si>
    <t xml:space="preserve">  Assessment Area (AA) Results:</t>
  </si>
  <si>
    <t>ResFish Score2</t>
  </si>
  <si>
    <t>Water      Cooling</t>
  </si>
  <si>
    <t>WatEdge Slope2</t>
  </si>
  <si>
    <r>
      <t>TDS is: [E</t>
    </r>
    <r>
      <rPr>
        <i/>
        <sz val="10"/>
        <rFont val="Arial Narrow"/>
        <family val="2"/>
      </rPr>
      <t xml:space="preserve">nter the reading </t>
    </r>
    <r>
      <rPr>
        <b/>
        <i/>
        <sz val="10"/>
        <rFont val="Arial Narrow"/>
        <family val="2"/>
      </rPr>
      <t xml:space="preserve">in ppm or mg/L </t>
    </r>
    <r>
      <rPr>
        <i/>
        <sz val="10"/>
        <rFont val="Arial Narrow"/>
        <family val="2"/>
      </rPr>
      <t>in the column to the right, if measured, or answer next row.</t>
    </r>
    <r>
      <rPr>
        <sz val="10"/>
        <rFont val="Arial Narrow"/>
        <family val="2"/>
      </rPr>
      <t>]</t>
    </r>
  </si>
  <si>
    <r>
      <t>Conductivity is  [E</t>
    </r>
    <r>
      <rPr>
        <i/>
        <sz val="10"/>
        <rFont val="Arial Narrow"/>
        <family val="2"/>
      </rPr>
      <t xml:space="preserve">nter the reading </t>
    </r>
    <r>
      <rPr>
        <b/>
        <i/>
        <sz val="10"/>
        <rFont val="Arial Narrow"/>
        <family val="2"/>
      </rPr>
      <t xml:space="preserve">in µS/cm </t>
    </r>
    <r>
      <rPr>
        <i/>
        <sz val="10"/>
        <rFont val="Arial Narrow"/>
        <family val="2"/>
      </rPr>
      <t>in the column to the right.</t>
    </r>
    <r>
      <rPr>
        <sz val="10"/>
        <rFont val="Arial Narrow"/>
        <family val="2"/>
      </rPr>
      <t>]</t>
    </r>
  </si>
  <si>
    <t>UpEdge Shape4</t>
  </si>
  <si>
    <t>WoodAbove 10</t>
  </si>
  <si>
    <t>NatVegCU pct10</t>
  </si>
  <si>
    <t>SedExcess 10</t>
  </si>
  <si>
    <t>WbirdFeed 10</t>
  </si>
  <si>
    <t>DepthEven 10</t>
  </si>
  <si>
    <r>
      <t>According to agency biologists and/or your own observations, the AA. [M</t>
    </r>
    <r>
      <rPr>
        <i/>
        <sz val="10"/>
        <rFont val="Arial Narrow"/>
        <family val="2"/>
        <scheme val="minor"/>
      </rPr>
      <t>ark just the first choice that is true.]</t>
    </r>
    <r>
      <rPr>
        <sz val="10"/>
        <rFont val="Arial Narrow"/>
        <family val="2"/>
        <scheme val="minor"/>
      </rPr>
      <t>:</t>
    </r>
  </si>
  <si>
    <t>Benefit  Indicators</t>
  </si>
  <si>
    <t>DepthEven 12</t>
  </si>
  <si>
    <t>Waterscape 11</t>
  </si>
  <si>
    <t>SizeHerbac 13</t>
  </si>
  <si>
    <t>AqPlantCov 13</t>
  </si>
  <si>
    <t>DepthEven 13</t>
  </si>
  <si>
    <t>ShoreSlope 13</t>
  </si>
  <si>
    <t>SizeHerbac 14</t>
  </si>
  <si>
    <t>NatVegSize 14</t>
  </si>
  <si>
    <t>NatVegProx 14</t>
  </si>
  <si>
    <t>TreeTypes 14</t>
  </si>
  <si>
    <t>WoodDown 14</t>
  </si>
  <si>
    <t>WoodyUniq 14</t>
  </si>
  <si>
    <t>WoodyHt Form0</t>
  </si>
  <si>
    <t>CovPct Scape0</t>
  </si>
  <si>
    <t>WoodyHtDiv 15</t>
  </si>
  <si>
    <t>SizeVeg Connec15</t>
  </si>
  <si>
    <t>WoodSp Dom15</t>
  </si>
  <si>
    <t>WoodHerb Mix15</t>
  </si>
  <si>
    <t>WoodyUniq 20</t>
  </si>
  <si>
    <t>SedDisturb 20</t>
  </si>
  <si>
    <t>IntersperPD</t>
  </si>
  <si>
    <t>SEN</t>
  </si>
  <si>
    <r>
      <t xml:space="preserve">Perkins, T. E. and M. V. Wilson. 2005. The impacts of </t>
    </r>
    <r>
      <rPr>
        <i/>
        <sz val="10"/>
        <rFont val="Arial Narrow"/>
        <family val="2"/>
      </rPr>
      <t xml:space="preserve">Phalaris arundinacea </t>
    </r>
    <r>
      <rPr>
        <sz val="10"/>
        <rFont val="Arial Narrow"/>
        <family val="2"/>
      </rPr>
      <t>(reed canarygrass) invasion on wetland plant richness in the Oregon Coast Range, USA depend on beavers. Biological Conservation 124:291-295.</t>
    </r>
  </si>
  <si>
    <r>
      <t xml:space="preserve"> In the Seattle area, salmon were dominant only in streams whose contributing areas contained less than 5% impervious surface. Salmon were essentially absent from streams draining areas with more than 35% impervious surfaces (May et al. 1997). Some types of watershed disturbances are probably more harmful to anadromous fish habitat than others. Impervious surfaces and storm drains, even when occurring at low densities but near drainageways that lead to the same stream or wetland, can dramatically alter the amount, timing, frequency, and duration of flow in streams and water level in lakes and wetlands (Booth et al. 2002, Konrad et al. 2005, Poff et al. 2006, Shields et al. 2008); increase pollutant loads and concentrations (Chadwick et al. 2006, Morgan et al. 2007); disrupt channel configurations (McBride &amp; Booth 2005, Colosimo &amp; Wilcock 2007); shift local air and water temperature regimes (Delgado et al. 2007); introduce chronic noise, predators, and other disturbances (Hepinstall et al. 2008); and as a consequence of these and related factors, alter the abundance, diversity, and species composition of fish and wildlife communities (Miltner et al. 2004, Hansen et al. 2005, Alberti et al. 2007, Walsh &amp; Kunapo 2009, Cookson &amp; Schorr 2009). </t>
    </r>
    <r>
      <rPr>
        <i/>
        <sz val="10"/>
        <rFont val="Arial Narrow"/>
        <family val="2"/>
      </rPr>
      <t>In calculations, is excluded automatically (cell goes blank) if F52 was answered positively.</t>
    </r>
  </si>
  <si>
    <t>IF((AllSat1=1), blank, AVERAGE(Fluctua, SeasPct))</t>
  </si>
  <si>
    <t>Larger ponded areas are preferred by swans, loons, grebes, cormorants, and some other waterbird species. That is partly because they provide greater buffer against predators, are more likely to have productive fish populations, and are long enough for waterbird species that cannot take flight by leaping directly upward (Stevens et al. 2003). Duckling survival is also greater in or near large ponded water bodies, provided they also have adequate cover.  However, motorboat use is greater in some larger water bodies and the disturbance can affect waterbird breeding success.</t>
  </si>
  <si>
    <t>Gabor, S.T., H.R. Murkin, and J.W. Ingram. 2002. Waterfowl use of managed and unmanaged beaver ponds in south-central Ontario. Northeast Wildl. 57:45-57.</t>
  </si>
  <si>
    <r>
      <t xml:space="preserve">At least in the short term, open water areas created by beaver dams provide excellent nesting and foraging habitat for several waterbird species (Gabor et al. 2002, Hood &amp; Bayley 2008). </t>
    </r>
    <r>
      <rPr>
        <i/>
        <sz val="10"/>
        <rFont val="Arial Narrow"/>
        <family val="2"/>
      </rPr>
      <t xml:space="preserve">In calculations, is excluded automatically (cell goes blank) if wetland never has ponded surface water during an average year. </t>
    </r>
  </si>
  <si>
    <r>
      <t>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&gt;8).See Figure A-6 in Appendix A of the Manual.  If no map coverage, change to</t>
    </r>
    <r>
      <rPr>
        <b/>
        <sz val="10"/>
        <rFont val="Arial Narrow"/>
        <family val="2"/>
        <scheme val="minor"/>
      </rPr>
      <t xml:space="preserve"> blank.</t>
    </r>
    <r>
      <rPr>
        <sz val="10"/>
        <rFont val="Arial Narrow"/>
        <family val="2"/>
        <scheme val="minor"/>
      </rPr>
      <t xml:space="preserve">
</t>
    </r>
  </si>
  <si>
    <t>If GIS is available, you may use the Bedrock Geology shapefile obtainable at http://www.snb.ca/geonb1/e/DC/catalogue-E.asp   [AM, FA, FR, INV, PH]</t>
  </si>
  <si>
    <r>
      <rPr>
        <b/>
        <sz val="10"/>
        <rFont val="Arial Narrow"/>
        <family val="2"/>
        <scheme val="minor"/>
      </rPr>
      <t xml:space="preserve">"Adjacent" </t>
    </r>
    <r>
      <rPr>
        <sz val="10"/>
        <rFont val="Arial Narrow"/>
        <family val="2"/>
        <scheme val="minor"/>
      </rPr>
      <t xml:space="preserve">means not separated from the AA by a wide expanse (&gt;50 m) of upland (including roads &gt;50 m wide).  Include ponded areas likely to be hidden by wetland vegetation.  If surface water extends beyond 1 km, include only the part within 1 km.  Do not include tidal areas.  Measure the area from aerial imagery using Google Earth Pro (click on Ruler icon in toolbar, then Polygon in pop-up menu).  With the GeoNB viewer, enable the Wetlands layer, then measure with the Draw &amp; Measure tool after specifying Aerial as the Basemap.  However, do not rely entirely on wetland boundaries shown in online wetlands layers. [PH, SBM, WBN] </t>
    </r>
  </si>
  <si>
    <t>To measure distance, use Google Earth Pro (Ruler &gt; Line tool).  Or use Draw &amp; Measure tool at GeoNB. The 375-ha criterion is from the Fundy Model Forest Project.  [AM, PH, POL, SBM, Sens]</t>
  </si>
  <si>
    <t>"Population center" means a settled area with more than about 5 regularly- inhabited structures per square kilometer. In Google Earth, click on the Ruler icon, then Path, and draw and measure the route.  Or use the GeoNB's Draw &amp; Measure tool&gt; Freehand Line to draw and measure the route to Settlements (click on Place Names in menu) or other areas not close to mapped settlements but which meet the criteria.[FAv, FRv, NRv, PH, PU, SBM, WBFv]</t>
  </si>
  <si>
    <t>Determine this by viewing aerial imagery in Google Earth and measuring with the Ruler&gt;Line tool.  Or use the GeoNB's Draw Line tool. [AM, FAv, FRv, NRv, PH, PU, SBM, STR, WBN]</t>
  </si>
  <si>
    <t>In NB, enable the Wetlands layer in GeoNB (despite its omissions) to show surrounding wetlands and roads, while estimating the location of the 5 km circle (or draw the 5 km circle in Google Earth Pro using the Circle tool and compare). Evaluate using Google Earth, being cautious to search for roads hidden under forest canopy.  [AM, SBM, STR]</t>
  </si>
  <si>
    <t>In Google Earth, zoom in closely to examine the surrounding landscape for ponds, lakes, and wetlands that appear to be permanently flooded.  Enable the GeoNB viewer's Wetlands layer as well.  [AM, PH, SBM, Sens, WBF, WBN]</t>
  </si>
  <si>
    <t xml:space="preserve">In Google Earth, measure the distance to the ocean (including Bay of Fundy) or tidal river, whichever is closer.  If you need to see how far upriver a river is tidal, see the KMZ file provided with this calculator for NB (NB Headtide).  Points shown in those files are only an approximation, so local information if available may be preferable. [FA, WBF]  </t>
  </si>
  <si>
    <t xml:space="preserve">In the GeoNB map viewer: click on "More" in upper right, then "Flood Information".  Expand the menu under it by clicking on the arrow to its left and the slider to its right.  Uncheck the first (Limits of Data) box. Where available, LiDAR imagery can provide finer elevational resolution useful for flood modeling. [WSv]
</t>
  </si>
  <si>
    <t xml:space="preserve">Regarding the last choice, if uncertain if an AA is fishless, consider the possibility its waters have been stocked.  In NB, the list of stocked waters is at: http://www2.gnb.ca/content/gnb/en/departments/erd/natural_resources/content/fish/content/StockedWaters.html 
[AM, FA, FR, INV, WBF, WBN]
</t>
  </si>
  <si>
    <t>Identify inlets and outlets, if any, from topographic maps (use elevations to determine which are inlets and which are outlets) and augment by field inspection. [NR, OE, PR, SR, WS]</t>
  </si>
  <si>
    <t xml:space="preserve">If AA is on private land with no information, change to blank (not 0).  If on public/crown land, in Google Earth open the KMZ file that accompanies this report called NB_DeerWinteringAreas.Otherwise: Enter: yes= 1, no= 0.
</t>
  </si>
  <si>
    <t>With GeoNB, click on Candidate PNA Map Viewer to identify Provincially Significant Wetland, Environmentally Significant Area, Protected Natural Area -- but also include if the AA is all or part of an area designated by government, FIrst Nations, or the Nature Conservancy of Canada (NCC) for its exceptional ecological features or highly intact natural conditions.  Enter: yes= 1, no= 0.  If uncertain, consult NCC and agencies for more recent information.</t>
  </si>
  <si>
    <t>In Google Earth, enable the Terrain layer (lower left menu) and open the NB_Watersheds KMZ file that accompanies this calculator. Then determine the AA's approximate elevation (bottom right, NOT the "eye alt").  Then move cursor around to determine the watershed's maximum and minimum elevation.  Divide the AA's elevation by the (max-min).</t>
  </si>
  <si>
    <t>In Google Earth, open the KMZ file NB_Watershed Protected Area which accompanies this calculator.  The AA is within such an area. Enter 1= yes, 0= no.</t>
  </si>
  <si>
    <t>Is known to support rearing and/or spawning by Atlantic salmon or other anadromous species or eels.  In NB, consult Figure A-2 in Appendix A of the Manual.  Contact local fishery biologists, review the ACCDC report, and visit these websites: http://www.salmonatlas.com/atlanticsalmon/canada-east/index.1.html    http://atlanticsalmonfederation.org/rivers/introduction.html</t>
  </si>
  <si>
    <t>New Brunswick</t>
  </si>
  <si>
    <t>Nova Scotia</t>
  </si>
  <si>
    <t>Prince Edward Island</t>
  </si>
  <si>
    <t>Newfoundland-Labrador</t>
  </si>
  <si>
    <r>
      <t xml:space="preserve">Salmon are highly sensitive to water acidity. </t>
    </r>
    <r>
      <rPr>
        <i/>
        <sz val="10"/>
        <rFont val="Arial Narrow"/>
        <family val="2"/>
      </rPr>
      <t xml:space="preserve"> In calculations, the 0-3 category is first divided by 3. </t>
    </r>
  </si>
  <si>
    <r>
      <t xml:space="preserve">Many fish and their supporting aquatic food webs are sensitive to water acidity.  </t>
    </r>
    <r>
      <rPr>
        <i/>
        <sz val="10"/>
        <rFont val="Arial Narrow"/>
        <family val="2"/>
      </rPr>
      <t xml:space="preserve">In calculations, the 0-3 category is first divided by 3.   </t>
    </r>
  </si>
  <si>
    <r>
      <t xml:space="preserve">Plants are more productive at warmer soil or sediment temperatures, and this supports higher productivity of aquatic insects.  </t>
    </r>
    <r>
      <rPr>
        <i/>
        <sz val="10"/>
        <rFont val="Arial Narrow"/>
        <family val="2"/>
      </rPr>
      <t xml:space="preserve"> In calculations, the 0-3 category is first divided by 3. </t>
    </r>
  </si>
  <si>
    <r>
      <t xml:space="preserve">Many species which contribute disproportionately to regional biodiversity due to their rarity occur in areas of limestone (calcareous) bedrock and soils, and not where exposure to acid precipitation is great.   </t>
    </r>
    <r>
      <rPr>
        <i/>
        <sz val="10"/>
        <rFont val="Arial Narrow"/>
        <family val="2"/>
      </rPr>
      <t xml:space="preserve">In calculations, the 0-3 category is first divided by 3. </t>
    </r>
  </si>
  <si>
    <t xml:space="preserve">Stressor (S) Data Form for Non-Tidal Wetlands. WESP-AC for New Brunswick. Version 2.                                                               </t>
  </si>
  <si>
    <r>
      <rPr>
        <sz val="16"/>
        <rFont val="Calibri"/>
        <family val="2"/>
      </rPr>
      <t xml:space="preserve">Form F (Field). Non-tidal Wetland Data Form. WESP-AC version 2 for New Brunswick wetlands only. </t>
    </r>
    <r>
      <rPr>
        <sz val="11"/>
        <rFont val="Calibri"/>
        <family val="2"/>
      </rPr>
      <t xml:space="preserve">DIRECTIONS:  Walk for no less than 10 minutes from the wetland edge towards its core, in the part of the AA that is proposed for alteration.  If no alteration is proposed, walk in a portion that appears to be most representative of the wetland overall. Walk only where it is safe and legal to do so. Conduct the assessment only after reading the accompanying Manual and the Explanations column of the data form. In the Data column, change the 0 (false) to a 1 (true) for the best choice, or for multiple choices where allowed and so indicated. Answer these questions primarily based on your onsite observations and interpretations. Do not write in shaded parts of this data form. Answering some questions accurately may require conferring with the landowner or other knowledgable persons, and/or reviewing aerial imagery. For most wetlands, completing this field data form will require 1-2 hours on a site. For a list of functions to which each question pertains, see the accompanying Interpretations form. For detailed descriptions of each WESP-AC model, see Appendix B of the accompanying Manual. Codes for functions and values are: WS= Water Storage &amp; Delay, SFS= Stream Flow Support, WC= Water Cooling, SR= Sediment Retention &amp; Stabilisation, PR= Phosphorus Retention, NR= Nitrate Removal, CS= Carbon Sequestration, OE= Organic Nutrient Export, INV= Invertebrate Habitat, FA= Anadromous Fish Habitat, FR= Resident Fish Habitat, AM= Amphibian &amp; Reptile Habitat, WBF= Feeding Waterbird Habitat, WBN= Nesting Waterbird Habitat, SBM= Songbird, Raptor, &amp; Mammal Habitat, POL= Pollinator Habitat, PH= Native Plant Habitat, PU= Public Use &amp; Recognition, EC= Ecological Condition, Sen= Wetland Sensitivity, STR= Stressors.                                                                                                                    </t>
    </r>
  </si>
  <si>
    <t>NOTE: A score of 0 does not mean the function or benefit is absent from the wetland. It means only that this wetland has a capacity that is equal or less than the lowest-scoring one, for that function or benefit, from among the 98 NB calibration wetlands that were assessed previously.</t>
  </si>
  <si>
    <t>The capacity to support an abundance and diversity of native fish (both resident and visiting species) that are not anadromous or catadromous, e.g., Dolly Varden, cutthroat trout.</t>
  </si>
  <si>
    <t xml:space="preserve">Tree cover is slower to recover than cover of herbaceous plants, making forested wetlands less resilient. </t>
  </si>
  <si>
    <t>Min</t>
  </si>
  <si>
    <t>Max</t>
  </si>
  <si>
    <t>Range</t>
  </si>
  <si>
    <t>F_JenksLo</t>
  </si>
  <si>
    <t>F_JenksHigh</t>
  </si>
  <si>
    <t>B_JenksLo</t>
  </si>
  <si>
    <t>B_JenksHigh</t>
  </si>
  <si>
    <r>
      <t xml:space="preserve">Woody vegetation adds vertical habitat space, bark, and dead wood used by many invertebrates, whereas  herbaceous vegetation has generally greater annual productivity.  A well-interspersed even mix of both is hypothesized to maximize invertebrate diversity and productivity.  </t>
    </r>
    <r>
      <rPr>
        <i/>
        <sz val="10"/>
        <rFont val="Arial Narrow"/>
        <family val="2"/>
      </rPr>
      <t xml:space="preserve">In calculations, is excluded automatically (cell goes blank) if few or no trees or shrubs are present. </t>
    </r>
  </si>
  <si>
    <t>Select the ONE ownership that covers the most of the AA. In Google Earth, open KMZ file called NB Crown lands.Use more recent information if available.</t>
  </si>
  <si>
    <t xml:space="preserve">The AA's vegetation cover is &gt;10% woody* but uplands within 5 km have &lt;10% woody cover. If so, enter "3" and continue to OF8.  If not, consider: 
The AA's vegetation is &gt;10% woody* but uplands within 1 km have &lt;10% woody cover. If so enter "2" and continue to OF8.  If not, consider: 
The AA's vegetation is &gt;10%  woody* but uplands within 100 m of the wetland edge have &lt;10% woody cover.  If so, enter "1"  
 [* NOTE: woody cover = trees &amp; shrubs taller than 1 m.]
</t>
  </si>
  <si>
    <t>WESP-AC version 2</t>
  </si>
  <si>
    <t>NB</t>
  </si>
  <si>
    <t>NS</t>
  </si>
  <si>
    <t>PEI</t>
  </si>
  <si>
    <t>NL</t>
  </si>
  <si>
    <t>ShedPos</t>
  </si>
  <si>
    <t>GrowD</t>
  </si>
  <si>
    <t xml:space="preserve">Presence of one or more of the plant species listed in the Plants_Rare worksheet of the accompanying SuppInfo file, or the AA is within a mapped Atlantic Coastal Plain Flora Buffer </t>
  </si>
  <si>
    <t>New Brunswick Reference Scores</t>
  </si>
  <si>
    <t>Topographic maps may be viewed online at the National Atlas of Canada (Toporama):  http://atlas.gc.ca/toporama/en/index.html             [NR, PR, Sens, SR, WS]</t>
  </si>
  <si>
    <t>In Google Earth, open the KMZ file that accompanies this calculator, called NB-PEI_GrowingDegreeDays. Place your cursor over the AA and left-click. From the pop-up, enter the GRIDCODE in the next column.</t>
  </si>
  <si>
    <r>
      <t xml:space="preserve">&lt;5%. If F60 was answered "&gt;95%" (mostly never visited), </t>
    </r>
    <r>
      <rPr>
        <b/>
        <sz val="10"/>
        <rFont val="Arial Narrow"/>
        <family val="2"/>
      </rPr>
      <t>SKIP to F64</t>
    </r>
    <r>
      <rPr>
        <sz val="10"/>
        <rFont val="Arial Narrow"/>
        <family val="2"/>
      </rPr>
      <t>.</t>
    </r>
  </si>
  <si>
    <t>Approximate size of the Assessment Area (AA, in hectares):</t>
  </si>
  <si>
    <r>
      <t>pH is a strong predictor of denitrification in wetlands (Morse et al. 2012).  Other factors being equal, the optimal pH for denitrification is 7 to 8.5, whereas a sharp decline occurs at a pH of less than 6 or greater than 8.5 (Simek &amp; Cooper 2002).  Acidifying Sphagnum mosses are most common below a pH of 5.5 (Vitt 2006).</t>
    </r>
    <r>
      <rPr>
        <i/>
        <sz val="10"/>
        <rFont val="Arial Narrow"/>
        <family val="2"/>
      </rPr>
      <t xml:space="preserve"> In calculations, is excluded automatically (cell goes blank) if last choice selected and is set to 0.5 if second choice is selected.  If pH is 6.0-8.5, score is set to 1, while outside this range is 0  This formula recognizes diminished rate of denitrification as pH becomes more acidic or basic.</t>
    </r>
  </si>
  <si>
    <t>75-99% of the AA never contains surface water, OR &gt;99% and there is at least one persistently ponded water body larger than 1 ha in the AA.</t>
  </si>
  <si>
    <r>
      <t xml:space="preserve">99-100%. AND there is no persistently ponded water body larger than 1 ha within the AA. Enter "1" and </t>
    </r>
    <r>
      <rPr>
        <b/>
        <sz val="10"/>
        <rFont val="Arial Narrow"/>
        <family val="2"/>
      </rPr>
      <t xml:space="preserve">SKIP to F42 </t>
    </r>
    <r>
      <rPr>
        <sz val="10"/>
        <rFont val="Arial Narrow"/>
        <family val="2"/>
      </rPr>
      <t>(Channel Connection).</t>
    </r>
  </si>
  <si>
    <t>Sediment deposition increases as the ratio of the volume of a storage basin (e.g., wetland) to the volume of runoff entering the basin from its contributing area increases (Heinemann 1981).  Here, wetland area is used as a surrogate for wetland volume.  Individually, wetlands in large floodplains may have very little effect on flood volume and thus little effect on the percent of incoming sediment load they are able to retain, compared to wetlands in headwaters (i.e., those with larger ratio of wetland area to contributing area) that are intersected by small streams.</t>
  </si>
  <si>
    <t>Longer flow paths usually allow more time for suspended sediment to be deposited.</t>
  </si>
  <si>
    <t>SoilDisturb3</t>
  </si>
  <si>
    <r>
      <rPr>
        <b/>
        <sz val="16"/>
        <rFont val="Calibri"/>
        <family val="2"/>
      </rPr>
      <t xml:space="preserve">Form OF (Office). Non-tidal Wetland Data Form. WESP-AC version 2.1 for New Brunswick wetlands </t>
    </r>
    <r>
      <rPr>
        <b/>
        <u/>
        <sz val="16"/>
        <rFont val="Calibri"/>
        <family val="2"/>
      </rPr>
      <t>only</t>
    </r>
    <r>
      <rPr>
        <sz val="16"/>
        <rFont val="Calibri"/>
        <family val="2"/>
      </rPr>
      <t>.</t>
    </r>
    <r>
      <rPr>
        <sz val="14"/>
        <rFont val="Calibri"/>
        <family val="2"/>
      </rPr>
      <t xml:space="preserve"> </t>
    </r>
    <r>
      <rPr>
        <sz val="11"/>
        <rFont val="Calibri"/>
        <family val="2"/>
      </rPr>
      <t xml:space="preserve"> DIRECTIONS:  Conduct an assessment only after reading the accompanying Manual and the Explanations column of the data form. In the Data column, change the 0 (false) to a 1 (true) for the best choice, or for multiple choices where allowed and so indicated.  Answering many of the questions below will require using these online map viewers:
     </t>
    </r>
    <r>
      <rPr>
        <b/>
        <sz val="11"/>
        <rFont val="Calibri"/>
        <family val="2"/>
      </rPr>
      <t>Google Earth Pro</t>
    </r>
    <r>
      <rPr>
        <sz val="11"/>
        <rFont val="Calibri"/>
        <family val="2"/>
      </rPr>
      <t xml:space="preserve">: https://www.google.com/earth/download/gep/agree.html
     </t>
    </r>
    <r>
      <rPr>
        <b/>
        <sz val="11"/>
        <rFont val="Calibri"/>
        <family val="2"/>
      </rPr>
      <t>GeoNB</t>
    </r>
    <r>
      <rPr>
        <sz val="11"/>
        <rFont val="Calibri"/>
        <family val="2"/>
      </rPr>
      <t xml:space="preserve">: http://www.snb.ca/geonb1/       and http://www.snb.ca/geonb1/e/apps/apps-E.asp
For most wetlands, completing this office data form will require 1-2 hours. For a list of functions to which each question pertains, see bracketed abbreviations in the Definitions/Explanations column. For detailed descriptions of each WESP-AC model, see Appendix B of the accompanying Manual. Codes for functions and values are: WS= Water Storage, SFS= Stream Flow Support, WC= Water Cooling, SR= Sediment Retention &amp; Stabilisation, PR= Phosphorus Retention, NR= Nitrate Removal, CS= Carbon Sequestration, OE= Organic Nutrient Export, INV= Invertebrate Habitat, FA= Anadromous Fish Habitat, FR= Resident Fish Habitat, AM= Amphibian &amp; Reptile Habitat, WBF= Feeding Waterbird Habitat, WBN= Nesting Waterbird Habitat, SBM= Songbird, Raptor, &amp; Mammal Habitat, POL= Pollinator Habitat, PH= Native Plant Habitat, PU= Public Use &amp; Recognition, EC= Ecological Condition, Sen= Wetland Sensitivity, STR= Stressors.
                                                                                                                                                 </t>
    </r>
  </si>
  <si>
    <t>Is the AA plus adjacent ponded water smaller than 0.01 hectare (about 10m x 10m, or 1m x 100 m)?  If so, enter "1" in column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</si>
</sst>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1" x14ac:knownFonts="1">
    <font>
      <sz val="10"/>
      <name val="Times New Roman"/>
    </font>
    <font>
      <sz val="11"/>
      <color theme="1"/>
      <name val="Arial Narrow"/>
      <family val="2"/>
      <scheme val="minor"/>
    </font>
    <font>
      <sz val="10"/>
      <color indexed="8"/>
      <name val="Arial Narrow"/>
      <family val="2"/>
    </font>
    <font>
      <sz val="8"/>
      <name val="Times New Roman"/>
      <family val="1"/>
    </font>
    <font>
      <sz val="10"/>
      <name val="Arial"/>
      <family val="2"/>
    </font>
    <font>
      <sz val="10"/>
      <name val="Arial Narrow"/>
      <family val="2"/>
    </font>
    <font>
      <b/>
      <sz val="10"/>
      <name val="Arial Narrow"/>
      <family val="2"/>
    </font>
    <font>
      <u/>
      <sz val="10"/>
      <name val="Arial Narrow"/>
      <family val="2"/>
    </font>
    <font>
      <b/>
      <sz val="12"/>
      <name val="Arial Narrow"/>
      <family val="2"/>
    </font>
    <font>
      <b/>
      <u/>
      <sz val="10"/>
      <name val="Arial Narrow"/>
      <family val="2"/>
    </font>
    <font>
      <sz val="10"/>
      <name val="Times New Roman"/>
      <family val="1"/>
    </font>
    <font>
      <sz val="12"/>
      <name val="Arial"/>
      <family val="2"/>
    </font>
    <font>
      <i/>
      <sz val="10"/>
      <name val="Arial Narrow"/>
      <family val="2"/>
    </font>
    <font>
      <b/>
      <sz val="16"/>
      <name val="Arial Narrow"/>
      <family val="2"/>
    </font>
    <font>
      <b/>
      <sz val="12"/>
      <name val="Arial"/>
      <family val="2"/>
    </font>
    <font>
      <b/>
      <i/>
      <sz val="12"/>
      <name val="Arial"/>
      <family val="2"/>
    </font>
    <font>
      <b/>
      <sz val="11"/>
      <name val="Arial Narrow"/>
      <family val="2"/>
    </font>
    <font>
      <sz val="11"/>
      <name val="Arial"/>
      <family val="2"/>
    </font>
    <font>
      <sz val="10"/>
      <color indexed="8"/>
      <name val="Arial Narrow"/>
      <family val="2"/>
    </font>
    <font>
      <sz val="11"/>
      <color indexed="8"/>
      <name val="Arial Narrow"/>
      <family val="2"/>
    </font>
    <font>
      <sz val="8"/>
      <name val="Times New Roman"/>
      <family val="1"/>
    </font>
    <font>
      <i/>
      <sz val="10"/>
      <color indexed="8"/>
      <name val="Arial Narrow"/>
      <family val="2"/>
    </font>
    <font>
      <sz val="10"/>
      <name val="Arial Narrow"/>
      <family val="2"/>
    </font>
    <font>
      <sz val="10"/>
      <name val="Arial Narrow"/>
      <family val="2"/>
    </font>
    <font>
      <b/>
      <sz val="10"/>
      <name val="Arial Narrow"/>
      <family val="2"/>
    </font>
    <font>
      <sz val="11"/>
      <name val="Arial Narrow"/>
      <family val="2"/>
    </font>
    <font>
      <sz val="10"/>
      <name val="Arial Narrow"/>
      <family val="2"/>
    </font>
    <font>
      <b/>
      <sz val="10"/>
      <name val="Arial Narrow"/>
      <family val="2"/>
    </font>
    <font>
      <sz val="10"/>
      <name val="Arial Narrow"/>
      <family val="2"/>
    </font>
    <font>
      <b/>
      <sz val="10"/>
      <name val="Arial Narrow"/>
      <family val="2"/>
    </font>
    <font>
      <b/>
      <sz val="16"/>
      <name val="Arial Narrow"/>
      <family val="2"/>
    </font>
    <font>
      <sz val="12"/>
      <name val="Arial Narrow"/>
      <family val="2"/>
    </font>
    <font>
      <sz val="8"/>
      <name val="Times New Roman"/>
      <family val="1"/>
    </font>
    <font>
      <b/>
      <i/>
      <sz val="10"/>
      <name val="Arial Narrow"/>
      <family val="2"/>
    </font>
    <font>
      <i/>
      <sz val="10"/>
      <name val="Times New Roman"/>
      <family val="1"/>
    </font>
    <font>
      <sz val="10.9"/>
      <name val="Arial Narrow"/>
      <family val="2"/>
    </font>
    <font>
      <b/>
      <sz val="13"/>
      <name val="Arial"/>
      <family val="2"/>
    </font>
    <font>
      <b/>
      <sz val="13"/>
      <name val="Arial Narrow"/>
      <family val="2"/>
    </font>
    <font>
      <b/>
      <sz val="14"/>
      <name val="Arial"/>
      <family val="2"/>
    </font>
    <font>
      <sz val="10.5"/>
      <name val="Arial Narrow"/>
      <family val="2"/>
    </font>
    <font>
      <sz val="10"/>
      <color rgb="FFFF0000"/>
      <name val="Arial Narrow"/>
      <family val="2"/>
    </font>
    <font>
      <sz val="10"/>
      <name val="Arial Narrow"/>
      <family val="2"/>
      <scheme val="minor"/>
    </font>
    <font>
      <sz val="10"/>
      <color theme="0" tint="-0.34998626667073579"/>
      <name val="Arial Narrow"/>
      <family val="2"/>
    </font>
    <font>
      <sz val="10"/>
      <color theme="0" tint="-0.24994659260841701"/>
      <name val="Arial Narrow"/>
      <family val="2"/>
    </font>
    <font>
      <sz val="10"/>
      <name val="Calibri"/>
      <family val="2"/>
    </font>
    <font>
      <sz val="10"/>
      <name val="Arial Narrow"/>
      <family val="2"/>
      <scheme val="major"/>
    </font>
    <font>
      <b/>
      <sz val="10"/>
      <name val="Times New Roman"/>
      <family val="1"/>
    </font>
    <font>
      <b/>
      <sz val="10"/>
      <color indexed="8"/>
      <name val="Arial Narrow"/>
      <family val="2"/>
    </font>
    <font>
      <sz val="10"/>
      <color rgb="FFFF0000"/>
      <name val="Arial Narrow"/>
      <family val="2"/>
      <scheme val="minor"/>
    </font>
    <font>
      <sz val="10"/>
      <color rgb="FF000000"/>
      <name val="Arial Narrow"/>
      <family val="2"/>
    </font>
    <font>
      <sz val="8"/>
      <color rgb="FFFF0000"/>
      <name val="Arial"/>
      <family val="2"/>
    </font>
    <font>
      <i/>
      <sz val="10"/>
      <color rgb="FFFF0000"/>
      <name val="Arial Narrow"/>
      <family val="2"/>
      <scheme val="minor"/>
    </font>
    <font>
      <sz val="8"/>
      <color rgb="FF222222"/>
      <name val="Arial"/>
      <family val="2"/>
    </font>
    <font>
      <sz val="11"/>
      <name val="Calibri"/>
      <family val="2"/>
    </font>
    <font>
      <i/>
      <sz val="10"/>
      <name val="Arial Narrow"/>
      <family val="2"/>
      <scheme val="minor"/>
    </font>
    <font>
      <b/>
      <sz val="11"/>
      <name val="Calibri"/>
      <family val="2"/>
    </font>
    <font>
      <b/>
      <i/>
      <sz val="11"/>
      <name val="Calibri"/>
      <family val="2"/>
    </font>
    <font>
      <b/>
      <sz val="16"/>
      <name val="Arial"/>
      <family val="2"/>
    </font>
    <font>
      <i/>
      <sz val="10.5"/>
      <name val="Arial Narrow"/>
      <family val="2"/>
    </font>
    <font>
      <sz val="10"/>
      <color theme="0" tint="-0.499984740745262"/>
      <name val="Arial Narrow"/>
      <family val="2"/>
    </font>
    <font>
      <b/>
      <sz val="14"/>
      <name val="Arial Narrow"/>
      <family val="2"/>
    </font>
    <font>
      <b/>
      <sz val="11"/>
      <name val="Arial"/>
      <family val="2"/>
    </font>
    <font>
      <i/>
      <u/>
      <sz val="10"/>
      <name val="Arial Narrow"/>
      <family val="2"/>
    </font>
    <font>
      <sz val="10"/>
      <color rgb="FF000000"/>
      <name val="Times New Roman"/>
      <family val="1"/>
    </font>
    <font>
      <b/>
      <sz val="10"/>
      <name val="Arial Narrow"/>
      <family val="2"/>
    </font>
    <font>
      <sz val="11"/>
      <name val="Calibri"/>
      <family val="2"/>
    </font>
    <font>
      <sz val="10"/>
      <name val="Arial Narrow"/>
      <family val="2"/>
    </font>
    <font>
      <b/>
      <sz val="11"/>
      <name val="Calibri"/>
      <family val="2"/>
    </font>
    <font>
      <sz val="11"/>
      <name val="Arial Narrow"/>
      <family val="2"/>
    </font>
    <font>
      <u/>
      <sz val="10"/>
      <name val="Times New Roman"/>
      <family val="2"/>
    </font>
    <font>
      <sz val="10"/>
      <name val="Arial Narrow"/>
      <family val="2"/>
      <scheme val="minor"/>
    </font>
    <font>
      <b/>
      <sz val="10"/>
      <name val="Arial Narrow"/>
      <family val="2"/>
      <scheme val="minor"/>
    </font>
    <font>
      <b/>
      <sz val="11"/>
      <name val="Arial Narrow"/>
      <family val="2"/>
      <scheme val="minor"/>
    </font>
    <font>
      <b/>
      <i/>
      <sz val="10"/>
      <name val="Arial Narrow"/>
      <family val="2"/>
      <scheme val="minor"/>
    </font>
    <font>
      <sz val="12"/>
      <name val="Arial"/>
      <family val="2"/>
    </font>
    <font>
      <b/>
      <sz val="13"/>
      <name val="Arial"/>
      <family val="2"/>
    </font>
    <font>
      <sz val="12"/>
      <name val="Arial Narrow"/>
      <family val="2"/>
    </font>
    <font>
      <b/>
      <sz val="11"/>
      <name val="Arial Narrow"/>
      <family val="2"/>
    </font>
    <font>
      <sz val="11"/>
      <name val="Arial Narrow"/>
      <family val="2"/>
    </font>
    <font>
      <sz val="10"/>
      <name val="Arial Narrow"/>
      <family val="2"/>
    </font>
    <font>
      <i/>
      <sz val="10"/>
      <name val="Times New Roman"/>
      <family val="2"/>
    </font>
    <font>
      <b/>
      <sz val="12"/>
      <name val="Arial Narrow"/>
      <family val="2"/>
    </font>
    <font>
      <sz val="10"/>
      <name val="Arial Narrow"/>
      <family val="2"/>
      <scheme val="minor"/>
    </font>
    <font>
      <sz val="9"/>
      <name val="Times New Roman"/>
      <family val="2"/>
    </font>
    <font>
      <sz val="11"/>
      <name val="Arial"/>
      <family val="2"/>
    </font>
    <font>
      <sz val="10"/>
      <name val="Arial"/>
      <family val="2"/>
    </font>
    <font>
      <sz val="8"/>
      <name val="Arial"/>
      <family val="2"/>
    </font>
    <font>
      <i/>
      <sz val="10"/>
      <name val="Arial"/>
      <family val="2"/>
    </font>
    <font>
      <b/>
      <i/>
      <sz val="11"/>
      <name val="Arial Narrow"/>
      <family val="2"/>
    </font>
    <font>
      <b/>
      <sz val="12"/>
      <name val="Arial"/>
      <family val="2"/>
    </font>
    <font>
      <sz val="11"/>
      <name val="Arial Narrow"/>
      <family val="2"/>
    </font>
    <font>
      <b/>
      <sz val="10"/>
      <name val="Arial"/>
      <family val="2"/>
    </font>
    <font>
      <sz val="10"/>
      <color rgb="FFFF0000"/>
      <name val="Arial"/>
      <family val="2"/>
    </font>
    <font>
      <i/>
      <sz val="11"/>
      <name val="Arial Narrow"/>
      <family val="2"/>
    </font>
    <font>
      <b/>
      <i/>
      <u/>
      <sz val="11"/>
      <name val="Arial Narrow"/>
      <family val="2"/>
    </font>
    <font>
      <i/>
      <u/>
      <sz val="11"/>
      <name val="Arial Narrow"/>
      <family val="2"/>
    </font>
    <font>
      <i/>
      <sz val="11"/>
      <color rgb="FFFF0000"/>
      <name val="Arial Narrow"/>
      <family val="2"/>
    </font>
    <font>
      <sz val="11"/>
      <name val="Arial Narrow"/>
      <family val="2"/>
      <scheme val="minor"/>
    </font>
    <font>
      <b/>
      <u/>
      <sz val="11"/>
      <name val="Arial Narrow"/>
      <family val="2"/>
    </font>
    <font>
      <sz val="18"/>
      <name val="Arial"/>
      <family val="2"/>
    </font>
    <font>
      <sz val="14"/>
      <name val="Calibri"/>
      <family val="2"/>
    </font>
    <font>
      <sz val="16"/>
      <name val="Calibri"/>
      <family val="2"/>
    </font>
    <font>
      <b/>
      <sz val="16"/>
      <name val="Calibri"/>
      <family val="2"/>
    </font>
    <font>
      <b/>
      <u/>
      <sz val="16"/>
      <name val="Calibri"/>
      <family val="2"/>
    </font>
    <font>
      <b/>
      <sz val="14"/>
      <name val="Times New Roman"/>
      <family val="1"/>
    </font>
    <font>
      <i/>
      <sz val="8"/>
      <name val="Arial Narrow"/>
      <family val="2"/>
      <scheme val="minor"/>
    </font>
    <font>
      <sz val="8"/>
      <color theme="0" tint="-0.499984740745262"/>
      <name val="Times New Roman"/>
      <family val="1"/>
    </font>
    <font>
      <sz val="8"/>
      <color theme="0" tint="-0.499984740745262"/>
      <name val="Arial Narrow"/>
      <family val="2"/>
      <scheme val="minor"/>
    </font>
    <font>
      <sz val="9"/>
      <color theme="0" tint="-0.499984740745262"/>
      <name val="Times New Roman"/>
      <family val="1"/>
    </font>
    <font>
      <sz val="9"/>
      <color theme="0" tint="-0.499984740745262"/>
      <name val="Arial Narrow"/>
      <family val="2"/>
      <scheme val="minor"/>
    </font>
    <font>
      <sz val="9"/>
      <color theme="0" tint="-0.499984740745262"/>
      <name val="Arial"/>
      <family val="2"/>
    </font>
  </fonts>
  <fills count="3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indexed="11"/>
        <bgColor indexed="64"/>
      </patternFill>
    </fill>
    <fill>
      <patternFill patternType="solid">
        <fgColor indexed="51"/>
        <bgColor indexed="64"/>
      </patternFill>
    </fill>
    <fill>
      <patternFill patternType="solid">
        <fgColor indexed="40"/>
        <bgColor indexed="64"/>
      </patternFill>
    </fill>
    <fill>
      <patternFill patternType="solid">
        <fgColor indexed="45"/>
        <bgColor indexed="64"/>
      </patternFill>
    </fill>
    <fill>
      <patternFill patternType="solid">
        <fgColor indexed="15"/>
        <bgColor indexed="64"/>
      </patternFill>
    </fill>
    <fill>
      <patternFill patternType="solid">
        <fgColor indexed="63"/>
        <bgColor indexed="64"/>
      </patternFill>
    </fill>
    <fill>
      <patternFill patternType="solid">
        <fgColor rgb="FFFFFF00"/>
        <bgColor indexed="64"/>
      </patternFill>
    </fill>
    <fill>
      <patternFill patternType="solid">
        <fgColor rgb="FFFFC000"/>
        <bgColor indexed="64"/>
      </patternFill>
    </fill>
    <fill>
      <patternFill patternType="solid">
        <fgColor rgb="FF00CCFF"/>
        <bgColor indexed="64"/>
      </patternFill>
    </fill>
    <fill>
      <patternFill patternType="solid">
        <fgColor theme="0" tint="-0.249977111117893"/>
        <bgColor indexed="64"/>
      </patternFill>
    </fill>
    <fill>
      <patternFill patternType="solid">
        <fgColor rgb="FF00FF00"/>
        <bgColor indexed="64"/>
      </patternFill>
    </fill>
    <fill>
      <patternFill patternType="solid">
        <fgColor rgb="FF66FF33"/>
        <bgColor indexed="64"/>
      </patternFill>
    </fill>
    <fill>
      <patternFill patternType="solid">
        <fgColor rgb="FF00B0F0"/>
        <bgColor indexed="64"/>
      </patternFill>
    </fill>
    <fill>
      <patternFill patternType="solid">
        <fgColor theme="0"/>
        <bgColor indexed="64"/>
      </patternFill>
    </fill>
    <fill>
      <patternFill patternType="solid">
        <fgColor rgb="FF808080"/>
        <bgColor indexed="64"/>
      </patternFill>
    </fill>
    <fill>
      <patternFill patternType="solid">
        <fgColor rgb="FFFF99CC"/>
        <bgColor indexed="64"/>
      </patternFill>
    </fill>
    <fill>
      <patternFill patternType="solid">
        <fgColor rgb="FF66FF66"/>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rgb="FFFFCC00"/>
        <bgColor indexed="64"/>
      </patternFill>
    </fill>
    <fill>
      <patternFill patternType="solid">
        <fgColor theme="4" tint="0.79998168889431442"/>
        <bgColor indexed="64"/>
      </patternFill>
    </fill>
    <fill>
      <patternFill patternType="solid">
        <fgColor rgb="FFD8D8D8"/>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rgb="FFCCFFCC"/>
        <bgColor indexed="64"/>
      </patternFill>
    </fill>
    <fill>
      <patternFill patternType="solid">
        <fgColor rgb="FF66FF99"/>
        <bgColor indexed="64"/>
      </patternFill>
    </fill>
    <fill>
      <patternFill patternType="solid">
        <fgColor rgb="FFFFCCFF"/>
        <bgColor indexed="64"/>
      </patternFill>
    </fill>
    <fill>
      <patternFill patternType="solid">
        <fgColor theme="8" tint="0.79998168889431442"/>
        <bgColor indexed="64"/>
      </patternFill>
    </fill>
    <fill>
      <patternFill patternType="solid">
        <fgColor rgb="FF99FF99"/>
        <bgColor indexed="64"/>
      </patternFill>
    </fill>
    <fill>
      <patternFill patternType="solid">
        <fgColor rgb="FFCCECFF"/>
        <bgColor indexed="64"/>
      </patternFill>
    </fill>
    <fill>
      <patternFill patternType="solid">
        <fgColor rgb="FFC0C0C0"/>
        <bgColor indexed="64"/>
      </patternFill>
    </fill>
    <fill>
      <patternFill patternType="solid">
        <fgColor theme="2"/>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right/>
      <top style="medium">
        <color indexed="64"/>
      </top>
      <bottom style="thin">
        <color indexed="64"/>
      </bottom>
      <diagonal/>
    </border>
    <border>
      <left style="medium">
        <color indexed="64"/>
      </left>
      <right/>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right style="medium">
        <color indexed="64"/>
      </right>
      <top/>
      <bottom style="thin">
        <color indexed="64"/>
      </bottom>
      <diagonal/>
    </border>
  </borders>
  <cellStyleXfs count="2">
    <xf numFmtId="0" fontId="0" fillId="0" borderId="0">
      <alignment vertical="top"/>
    </xf>
    <xf numFmtId="0" fontId="10" fillId="0" borderId="0">
      <alignment vertical="top"/>
    </xf>
  </cellStyleXfs>
  <cellXfs count="2262">
    <xf numFmtId="0" fontId="0" fillId="0" borderId="0" xfId="0">
      <alignment vertical="top"/>
    </xf>
    <xf numFmtId="0" fontId="5" fillId="0" borderId="0" xfId="0" applyFont="1" applyAlignment="1">
      <alignment wrapText="1"/>
    </xf>
    <xf numFmtId="0" fontId="5" fillId="0" borderId="0" xfId="0" applyFont="1" applyAlignment="1">
      <alignment vertical="top" wrapText="1"/>
    </xf>
    <xf numFmtId="0" fontId="5" fillId="0" borderId="5" xfId="0" applyFont="1" applyBorder="1" applyAlignment="1">
      <alignment vertical="top" wrapText="1"/>
    </xf>
    <xf numFmtId="0" fontId="5" fillId="0" borderId="6" xfId="0" applyFont="1" applyBorder="1" applyAlignment="1">
      <alignment vertical="top" wrapText="1"/>
    </xf>
    <xf numFmtId="0" fontId="5" fillId="0" borderId="0" xfId="0" applyFont="1">
      <alignment vertical="top"/>
    </xf>
    <xf numFmtId="49" fontId="5" fillId="0" borderId="0" xfId="0" applyNumberFormat="1" applyFont="1" applyAlignment="1">
      <alignment vertical="top" wrapText="1"/>
    </xf>
    <xf numFmtId="0" fontId="6" fillId="0" borderId="0" xfId="0" applyFont="1" applyAlignment="1">
      <alignment vertical="top" wrapText="1"/>
    </xf>
    <xf numFmtId="0" fontId="5" fillId="0" borderId="1" xfId="0" applyFont="1" applyBorder="1">
      <alignment vertical="top"/>
    </xf>
    <xf numFmtId="0" fontId="5" fillId="0" borderId="6" xfId="0" applyFont="1" applyBorder="1">
      <alignment vertical="top"/>
    </xf>
    <xf numFmtId="0" fontId="5" fillId="0" borderId="0" xfId="0" applyFont="1" applyAlignment="1">
      <alignment horizontal="left" vertical="top" wrapText="1"/>
    </xf>
    <xf numFmtId="2" fontId="5" fillId="0" borderId="0" xfId="0" applyNumberFormat="1" applyFont="1">
      <alignment vertical="top"/>
    </xf>
    <xf numFmtId="2" fontId="5" fillId="0" borderId="0" xfId="0" applyNumberFormat="1" applyFont="1" applyAlignment="1">
      <alignment horizontal="right" vertical="top"/>
    </xf>
    <xf numFmtId="0" fontId="5" fillId="0" borderId="0" xfId="0" applyFont="1" applyAlignment="1">
      <alignment horizontal="center" vertical="top" wrapText="1"/>
    </xf>
    <xf numFmtId="0" fontId="5" fillId="0" borderId="12" xfId="0" applyFont="1" applyBorder="1" applyAlignment="1">
      <alignment vertical="top" wrapText="1"/>
    </xf>
    <xf numFmtId="0" fontId="5" fillId="0" borderId="0" xfId="1" applyFont="1">
      <alignment vertical="top"/>
    </xf>
    <xf numFmtId="0" fontId="10" fillId="0" borderId="0" xfId="1">
      <alignment vertical="top"/>
    </xf>
    <xf numFmtId="0" fontId="23" fillId="0" borderId="0" xfId="0" applyFont="1" applyAlignment="1">
      <alignment vertical="top" wrapText="1"/>
    </xf>
    <xf numFmtId="49" fontId="23" fillId="0" borderId="0" xfId="0" applyNumberFormat="1" applyFont="1" applyAlignment="1">
      <alignment vertical="top" wrapText="1"/>
    </xf>
    <xf numFmtId="0" fontId="23" fillId="0" borderId="0" xfId="0" applyFont="1" applyAlignment="1">
      <alignment horizontal="left" vertical="top" wrapText="1"/>
    </xf>
    <xf numFmtId="0" fontId="26" fillId="0" borderId="0" xfId="0" applyFont="1">
      <alignment vertical="top"/>
    </xf>
    <xf numFmtId="0" fontId="26" fillId="0" borderId="0" xfId="0" applyFont="1" applyAlignment="1">
      <alignment vertical="top" wrapText="1"/>
    </xf>
    <xf numFmtId="0" fontId="26" fillId="0" borderId="1" xfId="0" applyFont="1" applyBorder="1" applyAlignment="1">
      <alignment horizontal="center" vertical="top" wrapText="1"/>
    </xf>
    <xf numFmtId="0" fontId="26" fillId="0" borderId="0" xfId="0" applyFont="1" applyAlignment="1">
      <alignment horizontal="center" vertical="top" wrapText="1"/>
    </xf>
    <xf numFmtId="0" fontId="5" fillId="0" borderId="0" xfId="0" applyFont="1" applyAlignment="1">
      <alignment horizontal="left" vertical="top"/>
    </xf>
    <xf numFmtId="0" fontId="26" fillId="0" borderId="0" xfId="0" applyFont="1" applyAlignment="1">
      <alignment wrapText="1"/>
    </xf>
    <xf numFmtId="0" fontId="26" fillId="0" borderId="1" xfId="0" applyFont="1" applyBorder="1" applyAlignment="1">
      <alignment wrapText="1"/>
    </xf>
    <xf numFmtId="49" fontId="26" fillId="0" borderId="0" xfId="0" applyNumberFormat="1" applyFont="1" applyAlignment="1">
      <alignment vertical="top" wrapText="1"/>
    </xf>
    <xf numFmtId="0" fontId="26" fillId="0" borderId="0" xfId="0" applyFont="1" applyAlignment="1"/>
    <xf numFmtId="0" fontId="28" fillId="0" borderId="0" xfId="0" applyFont="1" applyAlignment="1">
      <alignment vertical="top" wrapText="1"/>
    </xf>
    <xf numFmtId="0" fontId="28" fillId="0" borderId="0" xfId="0" applyFont="1" applyAlignment="1">
      <alignment horizontal="left" vertical="top" wrapText="1"/>
    </xf>
    <xf numFmtId="0" fontId="5" fillId="0" borderId="8" xfId="0" applyFont="1" applyBorder="1" applyAlignment="1">
      <alignment horizontal="left" vertical="top" wrapText="1"/>
    </xf>
    <xf numFmtId="2" fontId="28" fillId="0" borderId="0" xfId="0" applyNumberFormat="1" applyFont="1" applyAlignment="1">
      <alignment horizontal="right" vertical="top" wrapText="1"/>
    </xf>
    <xf numFmtId="0" fontId="5" fillId="0" borderId="1" xfId="0" applyFont="1" applyBorder="1" applyAlignment="1">
      <alignment horizontal="center" vertical="top" wrapText="1"/>
    </xf>
    <xf numFmtId="0" fontId="5" fillId="2" borderId="3" xfId="0" applyFont="1" applyFill="1" applyBorder="1" applyAlignment="1">
      <alignment horizontal="center" vertical="top" wrapText="1"/>
    </xf>
    <xf numFmtId="0" fontId="5" fillId="2" borderId="1" xfId="0" applyFont="1" applyFill="1" applyBorder="1" applyAlignment="1">
      <alignment horizontal="center" vertical="top" wrapText="1"/>
    </xf>
    <xf numFmtId="0" fontId="5" fillId="0" borderId="5" xfId="0" applyFont="1" applyBorder="1" applyAlignment="1">
      <alignment horizontal="left" vertical="top" wrapText="1"/>
    </xf>
    <xf numFmtId="0" fontId="28" fillId="0" borderId="6" xfId="0" applyFont="1" applyBorder="1" applyAlignment="1">
      <alignment vertical="top" wrapText="1"/>
    </xf>
    <xf numFmtId="0" fontId="5" fillId="2" borderId="4" xfId="0" applyFont="1" applyFill="1" applyBorder="1" applyAlignment="1">
      <alignment horizontal="center" vertical="top" wrapText="1"/>
    </xf>
    <xf numFmtId="0" fontId="5" fillId="0" borderId="0" xfId="0" applyFont="1" applyAlignment="1">
      <alignment horizontal="left" wrapText="1"/>
    </xf>
    <xf numFmtId="1" fontId="26" fillId="2" borderId="1" xfId="0" applyNumberFormat="1" applyFont="1" applyFill="1" applyBorder="1" applyAlignment="1">
      <alignment horizontal="center" vertical="top" wrapText="1"/>
    </xf>
    <xf numFmtId="0" fontId="26" fillId="2" borderId="2" xfId="0" applyFont="1" applyFill="1" applyBorder="1" applyAlignment="1">
      <alignment horizontal="center" vertical="top" wrapText="1"/>
    </xf>
    <xf numFmtId="0" fontId="26" fillId="0" borderId="3" xfId="0" applyFont="1" applyBorder="1" applyAlignment="1">
      <alignment horizontal="center" vertical="top" wrapText="1"/>
    </xf>
    <xf numFmtId="1" fontId="26" fillId="2" borderId="2" xfId="0" applyNumberFormat="1" applyFont="1" applyFill="1" applyBorder="1" applyAlignment="1">
      <alignment horizontal="center" vertical="top" wrapText="1"/>
    </xf>
    <xf numFmtId="0" fontId="26" fillId="2" borderId="1" xfId="0" applyFont="1" applyFill="1" applyBorder="1" applyAlignment="1">
      <alignment horizontal="center" vertical="top" wrapText="1"/>
    </xf>
    <xf numFmtId="0" fontId="26" fillId="2" borderId="8" xfId="0" applyFont="1" applyFill="1" applyBorder="1" applyAlignment="1">
      <alignment horizontal="center" vertical="top" wrapText="1"/>
    </xf>
    <xf numFmtId="1" fontId="26" fillId="2" borderId="8" xfId="0" applyNumberFormat="1" applyFont="1" applyFill="1" applyBorder="1" applyAlignment="1">
      <alignment horizontal="center" vertical="top" wrapText="1"/>
    </xf>
    <xf numFmtId="1" fontId="26" fillId="2" borderId="9" xfId="0" applyNumberFormat="1" applyFont="1" applyFill="1" applyBorder="1" applyAlignment="1">
      <alignment horizontal="center" vertical="top" wrapText="1"/>
    </xf>
    <xf numFmtId="1" fontId="26" fillId="0" borderId="0" xfId="0" applyNumberFormat="1" applyFont="1" applyAlignment="1">
      <alignment horizontal="center" vertical="top" wrapText="1"/>
    </xf>
    <xf numFmtId="0" fontId="26" fillId="0" borderId="4" xfId="0" applyFont="1" applyBorder="1" applyAlignment="1">
      <alignment horizontal="center" vertical="top" wrapText="1"/>
    </xf>
    <xf numFmtId="0" fontId="5" fillId="2" borderId="8" xfId="0" applyFont="1" applyFill="1" applyBorder="1" applyAlignment="1">
      <alignment horizontal="center" vertical="top" wrapText="1"/>
    </xf>
    <xf numFmtId="0" fontId="5" fillId="0" borderId="14" xfId="0" applyFont="1" applyBorder="1" applyAlignment="1">
      <alignment horizontal="left" vertical="top" wrapText="1"/>
    </xf>
    <xf numFmtId="0" fontId="5" fillId="0" borderId="0" xfId="0" applyFont="1" applyAlignment="1">
      <alignment vertical="center" wrapText="1"/>
    </xf>
    <xf numFmtId="49" fontId="5" fillId="0" borderId="5" xfId="0" applyNumberFormat="1" applyFont="1" applyBorder="1" applyAlignment="1">
      <alignment horizontal="left" vertical="top" wrapText="1"/>
    </xf>
    <xf numFmtId="0" fontId="31" fillId="0" borderId="0" xfId="0" applyFont="1" applyAlignment="1">
      <alignment vertical="top" wrapText="1"/>
    </xf>
    <xf numFmtId="0" fontId="5" fillId="0" borderId="41" xfId="0" applyFont="1" applyBorder="1" applyAlignment="1">
      <alignment horizontal="left" vertical="top" wrapText="1"/>
    </xf>
    <xf numFmtId="0" fontId="25" fillId="0" borderId="0" xfId="0" applyFont="1" applyAlignment="1">
      <alignment vertical="top" wrapText="1"/>
    </xf>
    <xf numFmtId="0" fontId="35" fillId="0" borderId="0" xfId="0" applyFont="1" applyAlignment="1">
      <alignment vertical="top" wrapText="1"/>
    </xf>
    <xf numFmtId="0" fontId="25" fillId="0" borderId="0" xfId="0" applyFont="1">
      <alignment vertical="top"/>
    </xf>
    <xf numFmtId="0" fontId="28" fillId="0" borderId="5" xfId="0" applyFont="1" applyBorder="1" applyAlignment="1">
      <alignment vertical="top" wrapText="1"/>
    </xf>
    <xf numFmtId="0" fontId="28" fillId="0" borderId="5" xfId="0" applyFont="1" applyBorder="1" applyAlignment="1">
      <alignment horizontal="left" vertical="top" wrapText="1"/>
    </xf>
    <xf numFmtId="1" fontId="28" fillId="0" borderId="5" xfId="0" applyNumberFormat="1" applyFont="1" applyBorder="1" applyAlignment="1">
      <alignment horizontal="left" vertical="top" wrapText="1"/>
    </xf>
    <xf numFmtId="2" fontId="5" fillId="0" borderId="0" xfId="0" applyNumberFormat="1" applyFont="1" applyAlignment="1">
      <alignment horizontal="center" vertical="center" wrapText="1"/>
    </xf>
    <xf numFmtId="1" fontId="5" fillId="0" borderId="0" xfId="0" applyNumberFormat="1" applyFont="1" applyAlignment="1">
      <alignment horizontal="center" vertical="center" wrapText="1"/>
    </xf>
    <xf numFmtId="1" fontId="5" fillId="2" borderId="1" xfId="0" applyNumberFormat="1"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center" vertical="center" wrapText="1"/>
    </xf>
    <xf numFmtId="1" fontId="5" fillId="2" borderId="4" xfId="0" applyNumberFormat="1" applyFont="1" applyFill="1" applyBorder="1" applyAlignment="1">
      <alignment horizontal="center" vertical="center" wrapText="1"/>
    </xf>
    <xf numFmtId="0" fontId="5" fillId="0" borderId="46" xfId="0" applyFont="1" applyBorder="1" applyAlignment="1">
      <alignment vertical="top" wrapText="1"/>
    </xf>
    <xf numFmtId="0" fontId="28" fillId="0" borderId="12" xfId="0" applyFont="1" applyBorder="1" applyAlignment="1">
      <alignment vertical="top" wrapText="1"/>
    </xf>
    <xf numFmtId="1" fontId="5" fillId="0" borderId="5" xfId="0" applyNumberFormat="1" applyFont="1" applyBorder="1" applyAlignment="1">
      <alignment horizontal="left" vertical="top" wrapText="1"/>
    </xf>
    <xf numFmtId="1" fontId="28" fillId="0" borderId="0" xfId="0" applyNumberFormat="1" applyFont="1" applyAlignment="1">
      <alignment horizontal="center" vertical="center" wrapText="1"/>
    </xf>
    <xf numFmtId="2" fontId="28" fillId="0" borderId="0" xfId="0" applyNumberFormat="1" applyFont="1" applyAlignment="1">
      <alignment horizontal="center" vertical="center" wrapText="1"/>
    </xf>
    <xf numFmtId="2" fontId="5" fillId="0" borderId="0" xfId="0" applyNumberFormat="1" applyFont="1" applyAlignment="1">
      <alignment horizontal="center" vertical="center"/>
    </xf>
    <xf numFmtId="0" fontId="5" fillId="0" borderId="0" xfId="0" applyFont="1" applyAlignment="1">
      <alignment horizontal="center" vertical="center"/>
    </xf>
    <xf numFmtId="1" fontId="5" fillId="0" borderId="0" xfId="0" applyNumberFormat="1" applyFont="1" applyAlignment="1">
      <alignment horizontal="center" vertical="center"/>
    </xf>
    <xf numFmtId="1" fontId="5" fillId="2" borderId="4" xfId="0" applyNumberFormat="1" applyFont="1" applyFill="1" applyBorder="1" applyAlignment="1">
      <alignment horizontal="center" vertical="center"/>
    </xf>
    <xf numFmtId="1" fontId="5" fillId="2" borderId="1" xfId="0" applyNumberFormat="1" applyFont="1" applyFill="1" applyBorder="1" applyAlignment="1">
      <alignment horizontal="center" vertical="center"/>
    </xf>
    <xf numFmtId="1" fontId="5" fillId="2" borderId="47" xfId="0" applyNumberFormat="1" applyFont="1" applyFill="1" applyBorder="1" applyAlignment="1">
      <alignment horizontal="center" vertical="center"/>
    </xf>
    <xf numFmtId="1" fontId="5" fillId="2" borderId="47" xfId="0" applyNumberFormat="1" applyFont="1" applyFill="1" applyBorder="1" applyAlignment="1">
      <alignment horizontal="center" vertical="center" wrapText="1"/>
    </xf>
    <xf numFmtId="0" fontId="5" fillId="0" borderId="0" xfId="0" applyFont="1" applyAlignment="1">
      <alignment horizontal="center" vertical="center" wrapText="1"/>
    </xf>
    <xf numFmtId="0" fontId="28" fillId="0" borderId="17" xfId="0" applyFont="1" applyBorder="1" applyAlignment="1">
      <alignment vertical="top" wrapText="1"/>
    </xf>
    <xf numFmtId="2" fontId="5" fillId="0" borderId="5" xfId="0" applyNumberFormat="1" applyFont="1" applyBorder="1" applyAlignment="1">
      <alignment horizontal="left" vertical="top" wrapText="1"/>
    </xf>
    <xf numFmtId="0" fontId="26" fillId="0" borderId="12" xfId="0" applyFont="1" applyBorder="1" applyAlignment="1">
      <alignment vertical="top" wrapText="1"/>
    </xf>
    <xf numFmtId="0" fontId="5" fillId="0" borderId="47" xfId="0" applyFont="1" applyBorder="1" applyAlignment="1">
      <alignment horizontal="center" vertical="top" wrapText="1"/>
    </xf>
    <xf numFmtId="0" fontId="5" fillId="0" borderId="50" xfId="0" applyFont="1" applyBorder="1" applyAlignment="1">
      <alignment vertical="top" wrapText="1"/>
    </xf>
    <xf numFmtId="0" fontId="16" fillId="0" borderId="0" xfId="0" applyFont="1" applyAlignment="1">
      <alignment vertical="top" wrapText="1"/>
    </xf>
    <xf numFmtId="2" fontId="25" fillId="0" borderId="0" xfId="0" applyNumberFormat="1" applyFont="1" applyAlignment="1">
      <alignment horizontal="right" vertical="top"/>
    </xf>
    <xf numFmtId="0" fontId="5" fillId="0" borderId="34" xfId="0" applyFont="1" applyBorder="1" applyAlignment="1">
      <alignment vertical="top" wrapText="1"/>
    </xf>
    <xf numFmtId="0" fontId="5" fillId="0" borderId="53" xfId="0" applyFont="1" applyBorder="1" applyAlignment="1">
      <alignment vertical="top" wrapText="1"/>
    </xf>
    <xf numFmtId="0" fontId="5" fillId="0" borderId="45" xfId="0" applyFont="1" applyBorder="1" applyAlignment="1">
      <alignment vertical="top" wrapText="1"/>
    </xf>
    <xf numFmtId="2" fontId="26" fillId="0" borderId="5" xfId="0" applyNumberFormat="1" applyFont="1" applyBorder="1" applyAlignment="1">
      <alignment vertical="top" wrapText="1"/>
    </xf>
    <xf numFmtId="0" fontId="26" fillId="0" borderId="5" xfId="0" applyFont="1" applyBorder="1" applyAlignment="1">
      <alignment vertical="top" wrapText="1"/>
    </xf>
    <xf numFmtId="0" fontId="23" fillId="0" borderId="5" xfId="0" applyFont="1" applyBorder="1" applyAlignment="1">
      <alignment vertical="top" wrapText="1"/>
    </xf>
    <xf numFmtId="0" fontId="23" fillId="0" borderId="11" xfId="0" applyFont="1" applyBorder="1" applyAlignment="1">
      <alignment vertical="top" wrapText="1"/>
    </xf>
    <xf numFmtId="1" fontId="26" fillId="2" borderId="51" xfId="0" applyNumberFormat="1" applyFont="1" applyFill="1" applyBorder="1" applyAlignment="1">
      <alignment horizontal="center" vertical="top" wrapText="1"/>
    </xf>
    <xf numFmtId="1" fontId="26" fillId="2" borderId="7" xfId="0" applyNumberFormat="1" applyFont="1" applyFill="1" applyBorder="1" applyAlignment="1">
      <alignment horizontal="center" vertical="top" wrapText="1"/>
    </xf>
    <xf numFmtId="0" fontId="26" fillId="0" borderId="47" xfId="0" applyFont="1" applyBorder="1" applyAlignment="1">
      <alignment horizontal="center" vertical="top" wrapText="1"/>
    </xf>
    <xf numFmtId="1" fontId="26" fillId="2" borderId="47" xfId="0" applyNumberFormat="1" applyFont="1" applyFill="1" applyBorder="1" applyAlignment="1">
      <alignment horizontal="center" vertical="top" wrapText="1"/>
    </xf>
    <xf numFmtId="0" fontId="26" fillId="2" borderId="3" xfId="0" applyFont="1" applyFill="1" applyBorder="1" applyAlignment="1">
      <alignment horizontal="center" vertical="top" wrapText="1"/>
    </xf>
    <xf numFmtId="1" fontId="26" fillId="2" borderId="35" xfId="0" applyNumberFormat="1" applyFont="1" applyFill="1" applyBorder="1" applyAlignment="1">
      <alignment horizontal="center" vertical="top" wrapText="1"/>
    </xf>
    <xf numFmtId="0" fontId="26" fillId="2" borderId="35" xfId="0" applyFont="1" applyFill="1" applyBorder="1" applyAlignment="1">
      <alignment horizontal="center" vertical="top" wrapText="1"/>
    </xf>
    <xf numFmtId="1" fontId="26" fillId="2" borderId="48" xfId="0" applyNumberFormat="1" applyFont="1" applyFill="1" applyBorder="1" applyAlignment="1">
      <alignment horizontal="center" vertical="top" wrapText="1"/>
    </xf>
    <xf numFmtId="0" fontId="26" fillId="2" borderId="47" xfId="0" applyFont="1" applyFill="1" applyBorder="1" applyAlignment="1">
      <alignment horizontal="center" vertical="top" wrapText="1"/>
    </xf>
    <xf numFmtId="1" fontId="26" fillId="2" borderId="16" xfId="0" applyNumberFormat="1" applyFont="1" applyFill="1" applyBorder="1" applyAlignment="1">
      <alignment horizontal="center" vertical="top" wrapText="1"/>
    </xf>
    <xf numFmtId="0" fontId="26" fillId="2" borderId="4" xfId="0" applyFont="1" applyFill="1" applyBorder="1" applyAlignment="1">
      <alignment horizontal="center" vertical="top" wrapText="1"/>
    </xf>
    <xf numFmtId="0" fontId="26" fillId="2" borderId="48" xfId="0" applyFont="1" applyFill="1" applyBorder="1" applyAlignment="1">
      <alignment horizontal="center" vertical="top" wrapText="1"/>
    </xf>
    <xf numFmtId="0" fontId="26" fillId="0" borderId="11" xfId="0" applyFont="1" applyBorder="1" applyAlignment="1">
      <alignment vertical="top" wrapText="1"/>
    </xf>
    <xf numFmtId="0" fontId="26" fillId="0" borderId="34" xfId="0" applyFont="1" applyBorder="1" applyAlignment="1">
      <alignment vertical="top" wrapText="1"/>
    </xf>
    <xf numFmtId="0" fontId="26" fillId="0" borderId="45" xfId="0" applyFont="1" applyBorder="1" applyAlignment="1">
      <alignment vertical="top" wrapText="1"/>
    </xf>
    <xf numFmtId="0" fontId="5" fillId="2" borderId="39" xfId="0" applyFont="1" applyFill="1" applyBorder="1" applyAlignment="1">
      <alignment horizontal="center" vertical="top" wrapText="1"/>
    </xf>
    <xf numFmtId="0" fontId="5" fillId="2" borderId="35" xfId="0" applyFont="1" applyFill="1" applyBorder="1" applyAlignment="1">
      <alignment horizontal="center" vertical="top" wrapText="1"/>
    </xf>
    <xf numFmtId="0" fontId="5" fillId="2" borderId="47" xfId="0" applyFont="1" applyFill="1" applyBorder="1" applyAlignment="1">
      <alignment horizontal="center" vertical="top" wrapText="1"/>
    </xf>
    <xf numFmtId="0" fontId="25" fillId="2" borderId="35" xfId="0" applyFont="1" applyFill="1" applyBorder="1" applyAlignment="1">
      <alignment horizontal="center" vertical="top" wrapText="1"/>
    </xf>
    <xf numFmtId="0" fontId="5" fillId="0" borderId="44" xfId="0" applyFont="1" applyBorder="1" applyAlignment="1">
      <alignment horizontal="center" vertical="top" wrapText="1"/>
    </xf>
    <xf numFmtId="0" fontId="5" fillId="2" borderId="44" xfId="0" applyFont="1" applyFill="1" applyBorder="1" applyAlignment="1">
      <alignment horizontal="center" vertical="top" wrapText="1"/>
    </xf>
    <xf numFmtId="0" fontId="5" fillId="2" borderId="51" xfId="0" applyFont="1" applyFill="1" applyBorder="1" applyAlignment="1">
      <alignment horizontal="center" vertical="top" wrapText="1"/>
    </xf>
    <xf numFmtId="0" fontId="5" fillId="2" borderId="7" xfId="0" applyFont="1" applyFill="1" applyBorder="1" applyAlignment="1">
      <alignment horizontal="center" vertical="top" wrapText="1"/>
    </xf>
    <xf numFmtId="0" fontId="5" fillId="2" borderId="13" xfId="0" applyFont="1" applyFill="1" applyBorder="1" applyAlignment="1">
      <alignment horizontal="center" vertical="top" wrapText="1"/>
    </xf>
    <xf numFmtId="1" fontId="5" fillId="0" borderId="5" xfId="0" applyNumberFormat="1" applyFont="1" applyBorder="1" applyAlignment="1">
      <alignment vertical="top" wrapText="1"/>
    </xf>
    <xf numFmtId="0" fontId="5" fillId="0" borderId="23" xfId="0" applyFont="1" applyBorder="1" applyAlignment="1">
      <alignment horizontal="left" vertical="top" wrapText="1"/>
    </xf>
    <xf numFmtId="1" fontId="5" fillId="0" borderId="44" xfId="0" applyNumberFormat="1" applyFont="1" applyBorder="1" applyAlignment="1">
      <alignment horizontal="center" vertical="top" wrapText="1"/>
    </xf>
    <xf numFmtId="0" fontId="28" fillId="0" borderId="1" xfId="0" applyFont="1" applyBorder="1" applyAlignment="1">
      <alignment horizontal="center" vertical="top" wrapText="1"/>
    </xf>
    <xf numFmtId="0" fontId="28" fillId="0" borderId="47" xfId="0" applyFont="1" applyBorder="1" applyAlignment="1">
      <alignment horizontal="center" vertical="top" wrapText="1"/>
    </xf>
    <xf numFmtId="0" fontId="23" fillId="0" borderId="1" xfId="0" applyFont="1" applyBorder="1" applyAlignment="1">
      <alignment horizontal="center" vertical="top" wrapText="1"/>
    </xf>
    <xf numFmtId="0" fontId="23" fillId="0" borderId="47" xfId="0" applyFont="1" applyBorder="1" applyAlignment="1">
      <alignment horizontal="center" vertical="top" wrapText="1"/>
    </xf>
    <xf numFmtId="1" fontId="26" fillId="2" borderId="39" xfId="0" applyNumberFormat="1" applyFont="1" applyFill="1" applyBorder="1" applyAlignment="1">
      <alignment horizontal="center" vertical="top" wrapText="1"/>
    </xf>
    <xf numFmtId="0" fontId="26" fillId="2" borderId="39" xfId="0" applyFont="1" applyFill="1" applyBorder="1" applyAlignment="1">
      <alignment horizontal="center" vertical="top" wrapText="1"/>
    </xf>
    <xf numFmtId="0" fontId="5" fillId="0" borderId="3" xfId="0" applyFont="1" applyBorder="1" applyAlignment="1">
      <alignment horizontal="center" vertical="top" wrapText="1"/>
    </xf>
    <xf numFmtId="0" fontId="5" fillId="0" borderId="4" xfId="0" applyFont="1" applyBorder="1" applyAlignment="1">
      <alignment horizontal="center" vertical="top" wrapText="1"/>
    </xf>
    <xf numFmtId="0" fontId="5" fillId="0" borderId="13" xfId="0" applyFont="1" applyBorder="1" applyAlignment="1">
      <alignment horizontal="center" vertical="top" wrapText="1"/>
    </xf>
    <xf numFmtId="1" fontId="5" fillId="0" borderId="4" xfId="0" applyNumberFormat="1" applyFont="1" applyBorder="1" applyAlignment="1">
      <alignment horizontal="center" vertical="top" wrapText="1"/>
    </xf>
    <xf numFmtId="1" fontId="5" fillId="0" borderId="1" xfId="0" applyNumberFormat="1" applyFont="1" applyBorder="1" applyAlignment="1">
      <alignment horizontal="center" vertical="top" wrapText="1"/>
    </xf>
    <xf numFmtId="1" fontId="5" fillId="0" borderId="3" xfId="0" applyNumberFormat="1" applyFont="1" applyBorder="1" applyAlignment="1">
      <alignment horizontal="center" vertical="top" wrapText="1"/>
    </xf>
    <xf numFmtId="0" fontId="28" fillId="0" borderId="4" xfId="0" applyFont="1" applyBorder="1" applyAlignment="1">
      <alignment horizontal="center" vertical="top" wrapText="1"/>
    </xf>
    <xf numFmtId="0" fontId="28" fillId="0" borderId="7" xfId="0" applyFont="1" applyBorder="1" applyAlignment="1">
      <alignment horizontal="center" vertical="top" wrapText="1"/>
    </xf>
    <xf numFmtId="0" fontId="28" fillId="0" borderId="3" xfId="0" applyFont="1" applyBorder="1" applyAlignment="1">
      <alignment horizontal="center" vertical="top" wrapText="1"/>
    </xf>
    <xf numFmtId="1" fontId="28" fillId="0" borderId="4" xfId="0" applyNumberFormat="1" applyFont="1" applyBorder="1" applyAlignment="1">
      <alignment horizontal="center" vertical="top" wrapText="1"/>
    </xf>
    <xf numFmtId="1" fontId="28" fillId="0" borderId="1" xfId="0" applyNumberFormat="1" applyFont="1" applyBorder="1" applyAlignment="1">
      <alignment horizontal="center" vertical="top" wrapText="1"/>
    </xf>
    <xf numFmtId="1" fontId="28" fillId="0" borderId="47" xfId="0" applyNumberFormat="1" applyFont="1" applyBorder="1" applyAlignment="1">
      <alignment horizontal="center" vertical="top" wrapText="1"/>
    </xf>
    <xf numFmtId="0" fontId="28" fillId="0" borderId="44" xfId="0" applyFont="1" applyBorder="1" applyAlignment="1">
      <alignment horizontal="center" vertical="top" wrapText="1"/>
    </xf>
    <xf numFmtId="0" fontId="28" fillId="0" borderId="48" xfId="0" applyFont="1" applyBorder="1" applyAlignment="1">
      <alignment horizontal="center" vertical="top" wrapText="1"/>
    </xf>
    <xf numFmtId="1" fontId="28" fillId="0" borderId="51" xfId="0" applyNumberFormat="1" applyFont="1" applyBorder="1" applyAlignment="1">
      <alignment horizontal="center" vertical="top" wrapText="1"/>
    </xf>
    <xf numFmtId="1" fontId="28" fillId="0" borderId="3" xfId="0" applyNumberFormat="1" applyFont="1" applyBorder="1" applyAlignment="1">
      <alignment horizontal="center" vertical="top" wrapText="1"/>
    </xf>
    <xf numFmtId="0" fontId="5" fillId="0" borderId="8" xfId="0" applyFont="1" applyBorder="1" applyAlignment="1">
      <alignment horizontal="center" vertical="top" wrapText="1"/>
    </xf>
    <xf numFmtId="0" fontId="5" fillId="0" borderId="12" xfId="0" applyFont="1" applyBorder="1" applyAlignment="1">
      <alignment horizontal="center" vertical="top" wrapText="1"/>
    </xf>
    <xf numFmtId="0" fontId="5" fillId="0" borderId="6" xfId="0" applyFont="1" applyBorder="1" applyAlignment="1">
      <alignment horizontal="center" vertical="top" wrapText="1"/>
    </xf>
    <xf numFmtId="0" fontId="5" fillId="0" borderId="50" xfId="0" applyFont="1" applyBorder="1" applyAlignment="1">
      <alignment horizontal="center" vertical="top" wrapText="1"/>
    </xf>
    <xf numFmtId="1" fontId="5" fillId="0" borderId="47" xfId="0" applyNumberFormat="1" applyFont="1" applyBorder="1" applyAlignment="1">
      <alignment horizontal="center" vertical="top" wrapText="1"/>
    </xf>
    <xf numFmtId="1" fontId="5" fillId="0" borderId="52" xfId="0" applyNumberFormat="1" applyFont="1" applyBorder="1" applyAlignment="1">
      <alignment horizontal="center" vertical="top" wrapText="1"/>
    </xf>
    <xf numFmtId="1" fontId="5" fillId="0" borderId="7" xfId="0" applyNumberFormat="1" applyFont="1" applyBorder="1" applyAlignment="1">
      <alignment horizontal="center" vertical="top" wrapText="1"/>
    </xf>
    <xf numFmtId="0" fontId="5" fillId="0" borderId="52" xfId="0" applyFont="1" applyBorder="1" applyAlignment="1">
      <alignment horizontal="center" vertical="top" wrapText="1"/>
    </xf>
    <xf numFmtId="0" fontId="5" fillId="0" borderId="2" xfId="0" applyFont="1" applyBorder="1" applyAlignment="1">
      <alignment horizontal="center" vertical="top" wrapText="1"/>
    </xf>
    <xf numFmtId="0" fontId="5" fillId="0" borderId="48" xfId="0" applyFont="1" applyBorder="1" applyAlignment="1">
      <alignment horizontal="center" vertical="top" wrapText="1"/>
    </xf>
    <xf numFmtId="0" fontId="5" fillId="0" borderId="9" xfId="0" applyFont="1" applyBorder="1" applyAlignment="1">
      <alignment horizontal="center" vertical="top" wrapText="1"/>
    </xf>
    <xf numFmtId="0" fontId="5" fillId="0" borderId="51" xfId="0" applyFont="1" applyBorder="1" applyAlignment="1">
      <alignment horizontal="center" vertical="top" wrapText="1"/>
    </xf>
    <xf numFmtId="1" fontId="5" fillId="0" borderId="8" xfId="0" applyNumberFormat="1" applyFont="1" applyBorder="1" applyAlignment="1">
      <alignment horizontal="center" vertical="top" wrapText="1"/>
    </xf>
    <xf numFmtId="1" fontId="23" fillId="0" borderId="7" xfId="0" applyNumberFormat="1" applyFont="1" applyBorder="1" applyAlignment="1">
      <alignment horizontal="center" vertical="top" wrapText="1"/>
    </xf>
    <xf numFmtId="1" fontId="23" fillId="0" borderId="3" xfId="0" applyNumberFormat="1" applyFont="1" applyBorder="1" applyAlignment="1">
      <alignment horizontal="center" vertical="top" wrapText="1"/>
    </xf>
    <xf numFmtId="1" fontId="23" fillId="0" borderId="47" xfId="0" applyNumberFormat="1" applyFont="1" applyBorder="1" applyAlignment="1">
      <alignment horizontal="center" vertical="top" wrapText="1"/>
    </xf>
    <xf numFmtId="0" fontId="23" fillId="0" borderId="4" xfId="0" applyFont="1" applyBorder="1" applyAlignment="1">
      <alignment horizontal="center" vertical="top" wrapText="1"/>
    </xf>
    <xf numFmtId="0" fontId="23" fillId="0" borderId="7" xfId="0" applyFont="1" applyBorder="1" applyAlignment="1">
      <alignment horizontal="center" vertical="top" wrapText="1"/>
    </xf>
    <xf numFmtId="0" fontId="23" fillId="0" borderId="3" xfId="0" applyFont="1" applyBorder="1" applyAlignment="1">
      <alignment horizontal="center" vertical="top" wrapText="1"/>
    </xf>
    <xf numFmtId="0" fontId="23" fillId="0" borderId="51" xfId="0" applyFont="1" applyBorder="1" applyAlignment="1">
      <alignment horizontal="center" vertical="top" wrapText="1"/>
    </xf>
    <xf numFmtId="0" fontId="23" fillId="0" borderId="52" xfId="0" applyFont="1" applyBorder="1" applyAlignment="1">
      <alignment horizontal="center" vertical="top" wrapText="1"/>
    </xf>
    <xf numFmtId="0" fontId="23" fillId="0" borderId="8" xfId="0" applyFont="1" applyBorder="1" applyAlignment="1">
      <alignment horizontal="center" vertical="top" wrapText="1"/>
    </xf>
    <xf numFmtId="0" fontId="23" fillId="0" borderId="9" xfId="0" applyFont="1" applyBorder="1" applyAlignment="1">
      <alignment horizontal="center" vertical="top" wrapText="1"/>
    </xf>
    <xf numFmtId="0" fontId="26" fillId="0" borderId="51" xfId="0" applyFont="1" applyBorder="1" applyAlignment="1">
      <alignment horizontal="center" vertical="top" wrapText="1"/>
    </xf>
    <xf numFmtId="0" fontId="26" fillId="0" borderId="13" xfId="0" applyFont="1" applyBorder="1" applyAlignment="1">
      <alignment horizontal="center" vertical="top" wrapText="1"/>
    </xf>
    <xf numFmtId="0" fontId="26" fillId="0" borderId="8" xfId="0" applyFont="1" applyBorder="1" applyAlignment="1">
      <alignment horizontal="center" vertical="top" wrapText="1"/>
    </xf>
    <xf numFmtId="0" fontId="26" fillId="0" borderId="9" xfId="0" applyFont="1" applyBorder="1" applyAlignment="1">
      <alignment horizontal="center" vertical="top" wrapText="1"/>
    </xf>
    <xf numFmtId="0" fontId="28" fillId="0" borderId="52" xfId="0" applyFont="1" applyBorder="1" applyAlignment="1">
      <alignment horizontal="center" vertical="top" wrapText="1"/>
    </xf>
    <xf numFmtId="49" fontId="28" fillId="0" borderId="1" xfId="0" applyNumberFormat="1" applyFont="1" applyBorder="1" applyAlignment="1">
      <alignment horizontal="center" vertical="top" wrapText="1"/>
    </xf>
    <xf numFmtId="1" fontId="5" fillId="0" borderId="34" xfId="0" applyNumberFormat="1" applyFont="1" applyBorder="1" applyAlignment="1">
      <alignment vertical="top" wrapText="1"/>
    </xf>
    <xf numFmtId="1" fontId="26" fillId="0" borderId="4" xfId="0" applyNumberFormat="1" applyFont="1" applyBorder="1" applyAlignment="1">
      <alignment horizontal="center" vertical="top" wrapText="1"/>
    </xf>
    <xf numFmtId="1" fontId="26" fillId="0" borderId="1" xfId="0" applyNumberFormat="1" applyFont="1" applyBorder="1" applyAlignment="1">
      <alignment horizontal="center" vertical="top" wrapText="1"/>
    </xf>
    <xf numFmtId="1" fontId="26" fillId="0" borderId="47" xfId="0" applyNumberFormat="1" applyFont="1" applyBorder="1" applyAlignment="1">
      <alignment horizontal="center" vertical="top" wrapText="1"/>
    </xf>
    <xf numFmtId="1" fontId="26" fillId="0" borderId="3" xfId="0" applyNumberFormat="1" applyFont="1" applyBorder="1" applyAlignment="1">
      <alignment horizontal="center" vertical="top" wrapText="1"/>
    </xf>
    <xf numFmtId="1" fontId="26" fillId="0" borderId="7" xfId="0" applyNumberFormat="1" applyFont="1" applyBorder="1" applyAlignment="1">
      <alignment horizontal="center" vertical="top" wrapText="1"/>
    </xf>
    <xf numFmtId="1" fontId="26" fillId="0" borderId="8" xfId="0" applyNumberFormat="1" applyFont="1" applyBorder="1" applyAlignment="1">
      <alignment horizontal="center" vertical="top" wrapText="1"/>
    </xf>
    <xf numFmtId="1" fontId="26" fillId="0" borderId="51" xfId="0" applyNumberFormat="1" applyFont="1" applyBorder="1" applyAlignment="1">
      <alignment horizontal="center" vertical="top" wrapText="1"/>
    </xf>
    <xf numFmtId="0" fontId="5" fillId="18" borderId="0" xfId="0" applyFont="1" applyFill="1" applyAlignment="1">
      <alignment horizontal="left" vertical="top" wrapText="1"/>
    </xf>
    <xf numFmtId="0" fontId="5" fillId="0" borderId="17" xfId="0" applyFont="1" applyBorder="1" applyAlignment="1">
      <alignment horizontal="left" vertical="top" wrapText="1"/>
    </xf>
    <xf numFmtId="0" fontId="5" fillId="0" borderId="7" xfId="0" applyFont="1" applyBorder="1" applyAlignment="1">
      <alignment horizontal="center" vertical="top" wrapText="1"/>
    </xf>
    <xf numFmtId="0" fontId="5" fillId="0" borderId="71" xfId="0" applyFont="1" applyBorder="1" applyAlignment="1">
      <alignment horizontal="left" vertical="top" wrapText="1"/>
    </xf>
    <xf numFmtId="1" fontId="5" fillId="0" borderId="0" xfId="0" applyNumberFormat="1" applyFont="1" applyAlignment="1">
      <alignment horizontal="center" vertical="top"/>
    </xf>
    <xf numFmtId="1" fontId="5" fillId="2" borderId="4" xfId="0" applyNumberFormat="1" applyFont="1" applyFill="1" applyBorder="1" applyAlignment="1">
      <alignment horizontal="center" vertical="top" wrapText="1"/>
    </xf>
    <xf numFmtId="1" fontId="5" fillId="2" borderId="1" xfId="0" applyNumberFormat="1" applyFont="1" applyFill="1" applyBorder="1" applyAlignment="1">
      <alignment horizontal="center" vertical="top" wrapText="1"/>
    </xf>
    <xf numFmtId="1" fontId="5" fillId="2" borderId="47" xfId="0" applyNumberFormat="1" applyFont="1" applyFill="1" applyBorder="1" applyAlignment="1">
      <alignment horizontal="center" vertical="top" wrapText="1"/>
    </xf>
    <xf numFmtId="1" fontId="5" fillId="2" borderId="8" xfId="0" applyNumberFormat="1" applyFont="1" applyFill="1" applyBorder="1" applyAlignment="1">
      <alignment horizontal="center" vertical="top" wrapText="1"/>
    </xf>
    <xf numFmtId="1" fontId="5" fillId="2" borderId="3" xfId="0" applyNumberFormat="1" applyFont="1" applyFill="1" applyBorder="1" applyAlignment="1">
      <alignment horizontal="center" vertical="top" wrapText="1"/>
    </xf>
    <xf numFmtId="1" fontId="5" fillId="2" borderId="39" xfId="0" applyNumberFormat="1" applyFont="1" applyFill="1" applyBorder="1" applyAlignment="1">
      <alignment horizontal="center" vertical="top" wrapText="1"/>
    </xf>
    <xf numFmtId="1" fontId="5" fillId="2" borderId="35" xfId="0" applyNumberFormat="1" applyFont="1" applyFill="1" applyBorder="1" applyAlignment="1">
      <alignment horizontal="center" vertical="top" wrapText="1"/>
    </xf>
    <xf numFmtId="0" fontId="28" fillId="2" borderId="4" xfId="0" applyFont="1" applyFill="1" applyBorder="1" applyAlignment="1">
      <alignment horizontal="center" vertical="top" wrapText="1"/>
    </xf>
    <xf numFmtId="1" fontId="28" fillId="2" borderId="8" xfId="0" applyNumberFormat="1" applyFont="1" applyFill="1" applyBorder="1" applyAlignment="1">
      <alignment horizontal="center" vertical="top" wrapText="1"/>
    </xf>
    <xf numFmtId="0" fontId="28" fillId="2" borderId="1" xfId="0" applyFont="1" applyFill="1" applyBorder="1" applyAlignment="1">
      <alignment horizontal="center" vertical="top" wrapText="1"/>
    </xf>
    <xf numFmtId="1" fontId="28" fillId="2" borderId="1" xfId="0" applyNumberFormat="1" applyFont="1" applyFill="1" applyBorder="1" applyAlignment="1">
      <alignment horizontal="center" vertical="top" wrapText="1"/>
    </xf>
    <xf numFmtId="0" fontId="28" fillId="2" borderId="3" xfId="0" applyFont="1" applyFill="1" applyBorder="1" applyAlignment="1">
      <alignment horizontal="center" vertical="top" wrapText="1"/>
    </xf>
    <xf numFmtId="1" fontId="28" fillId="2" borderId="3" xfId="0" applyNumberFormat="1" applyFont="1" applyFill="1" applyBorder="1" applyAlignment="1">
      <alignment horizontal="center" vertical="top" wrapText="1"/>
    </xf>
    <xf numFmtId="1" fontId="5" fillId="2" borderId="51" xfId="0" applyNumberFormat="1" applyFont="1" applyFill="1" applyBorder="1" applyAlignment="1">
      <alignment horizontal="center" vertical="top" wrapText="1"/>
    </xf>
    <xf numFmtId="1" fontId="5" fillId="2" borderId="13" xfId="0" applyNumberFormat="1" applyFont="1" applyFill="1" applyBorder="1" applyAlignment="1">
      <alignment horizontal="center" vertical="top" wrapText="1"/>
    </xf>
    <xf numFmtId="1" fontId="5" fillId="2" borderId="52" xfId="0" applyNumberFormat="1" applyFont="1" applyFill="1" applyBorder="1" applyAlignment="1">
      <alignment horizontal="center" vertical="top" wrapText="1"/>
    </xf>
    <xf numFmtId="1" fontId="5" fillId="2" borderId="66" xfId="0" applyNumberFormat="1" applyFont="1" applyFill="1" applyBorder="1" applyAlignment="1">
      <alignment horizontal="center" vertical="top" wrapText="1"/>
    </xf>
    <xf numFmtId="1" fontId="5" fillId="2" borderId="6" xfId="0" applyNumberFormat="1" applyFont="1" applyFill="1" applyBorder="1" applyAlignment="1">
      <alignment horizontal="center" vertical="top" wrapText="1"/>
    </xf>
    <xf numFmtId="1" fontId="5" fillId="2" borderId="50" xfId="0" applyNumberFormat="1" applyFont="1" applyFill="1" applyBorder="1" applyAlignment="1">
      <alignment horizontal="center" vertical="top" wrapText="1"/>
    </xf>
    <xf numFmtId="1" fontId="5" fillId="2" borderId="12" xfId="0" applyNumberFormat="1" applyFont="1" applyFill="1" applyBorder="1" applyAlignment="1">
      <alignment horizontal="center" vertical="top" wrapText="1"/>
    </xf>
    <xf numFmtId="1" fontId="5" fillId="2" borderId="7" xfId="0" applyNumberFormat="1" applyFont="1" applyFill="1" applyBorder="1" applyAlignment="1">
      <alignment horizontal="center" vertical="top" wrapText="1"/>
    </xf>
    <xf numFmtId="1" fontId="5" fillId="2" borderId="45" xfId="0" applyNumberFormat="1" applyFont="1" applyFill="1" applyBorder="1" applyAlignment="1">
      <alignment horizontal="center" vertical="top" wrapText="1"/>
    </xf>
    <xf numFmtId="1" fontId="5" fillId="2" borderId="8" xfId="0" applyNumberFormat="1" applyFont="1" applyFill="1" applyBorder="1" applyAlignment="1">
      <alignment horizontal="center" vertical="top"/>
    </xf>
    <xf numFmtId="1" fontId="5" fillId="2" borderId="35" xfId="0" applyNumberFormat="1" applyFont="1" applyFill="1" applyBorder="1" applyAlignment="1">
      <alignment horizontal="center" vertical="top"/>
    </xf>
    <xf numFmtId="1" fontId="5" fillId="2" borderId="44" xfId="0" applyNumberFormat="1" applyFont="1" applyFill="1" applyBorder="1" applyAlignment="1">
      <alignment horizontal="center" vertical="top" wrapText="1"/>
    </xf>
    <xf numFmtId="1" fontId="5" fillId="2" borderId="1" xfId="0" applyNumberFormat="1" applyFont="1" applyFill="1" applyBorder="1" applyAlignment="1">
      <alignment horizontal="center" vertical="top"/>
    </xf>
    <xf numFmtId="1" fontId="5" fillId="2" borderId="2" xfId="0" applyNumberFormat="1" applyFont="1" applyFill="1" applyBorder="1" applyAlignment="1">
      <alignment horizontal="center" vertical="top" wrapText="1"/>
    </xf>
    <xf numFmtId="1" fontId="5" fillId="2" borderId="3" xfId="0" applyNumberFormat="1" applyFont="1" applyFill="1" applyBorder="1" applyAlignment="1">
      <alignment horizontal="center" vertical="top"/>
    </xf>
    <xf numFmtId="1" fontId="5" fillId="2" borderId="9" xfId="0" applyNumberFormat="1" applyFont="1" applyFill="1" applyBorder="1" applyAlignment="1">
      <alignment horizontal="center" vertical="top" wrapText="1"/>
    </xf>
    <xf numFmtId="1" fontId="5" fillId="2" borderId="47" xfId="0" applyNumberFormat="1" applyFont="1" applyFill="1" applyBorder="1" applyAlignment="1">
      <alignment horizontal="center" vertical="top"/>
    </xf>
    <xf numFmtId="1" fontId="5" fillId="2" borderId="48" xfId="0" applyNumberFormat="1" applyFont="1" applyFill="1" applyBorder="1" applyAlignment="1">
      <alignment horizontal="center" vertical="top" wrapText="1"/>
    </xf>
    <xf numFmtId="1" fontId="5" fillId="2" borderId="4" xfId="0" applyNumberFormat="1" applyFont="1" applyFill="1" applyBorder="1" applyAlignment="1">
      <alignment horizontal="center" vertical="top"/>
    </xf>
    <xf numFmtId="1" fontId="5" fillId="2" borderId="66" xfId="0" applyNumberFormat="1" applyFont="1" applyFill="1" applyBorder="1" applyAlignment="1">
      <alignment horizontal="center" vertical="top"/>
    </xf>
    <xf numFmtId="1" fontId="5" fillId="2" borderId="11" xfId="0" applyNumberFormat="1" applyFont="1" applyFill="1" applyBorder="1" applyAlignment="1">
      <alignment horizontal="center" vertical="top"/>
    </xf>
    <xf numFmtId="1" fontId="5" fillId="2" borderId="44" xfId="0" applyNumberFormat="1" applyFont="1" applyFill="1" applyBorder="1" applyAlignment="1">
      <alignment horizontal="center" vertical="top"/>
    </xf>
    <xf numFmtId="2" fontId="5" fillId="5" borderId="64" xfId="0" applyNumberFormat="1" applyFont="1" applyFill="1" applyBorder="1" applyAlignment="1">
      <alignment horizontal="center" vertical="top" wrapText="1"/>
    </xf>
    <xf numFmtId="0" fontId="5" fillId="0" borderId="11" xfId="0" applyFont="1" applyBorder="1" applyAlignment="1">
      <alignment vertical="top" wrapText="1"/>
    </xf>
    <xf numFmtId="0" fontId="10" fillId="0" borderId="59" xfId="1" applyBorder="1" applyAlignment="1">
      <alignment vertical="center"/>
    </xf>
    <xf numFmtId="0" fontId="10" fillId="0" borderId="0" xfId="1" applyAlignment="1">
      <alignment vertical="center"/>
    </xf>
    <xf numFmtId="0" fontId="5" fillId="0" borderId="0" xfId="1" applyFont="1" applyAlignment="1">
      <alignment vertical="center"/>
    </xf>
    <xf numFmtId="0" fontId="28" fillId="0" borderId="41" xfId="0" applyFont="1" applyBorder="1" applyAlignment="1">
      <alignment vertical="top" wrapText="1"/>
    </xf>
    <xf numFmtId="0" fontId="28" fillId="0" borderId="56" xfId="0" applyFont="1" applyBorder="1" applyAlignment="1">
      <alignment vertical="top" wrapText="1"/>
    </xf>
    <xf numFmtId="0" fontId="28" fillId="0" borderId="11" xfId="0" applyFont="1" applyBorder="1" applyAlignment="1">
      <alignment vertical="top" wrapText="1"/>
    </xf>
    <xf numFmtId="0" fontId="28" fillId="0" borderId="41" xfId="0" applyFont="1" applyBorder="1" applyAlignment="1">
      <alignment horizontal="left" vertical="top" wrapText="1"/>
    </xf>
    <xf numFmtId="0" fontId="28" fillId="0" borderId="12" xfId="0" applyFont="1" applyBorder="1" applyAlignment="1">
      <alignment horizontal="left" vertical="top" wrapText="1"/>
    </xf>
    <xf numFmtId="0" fontId="28" fillId="0" borderId="56" xfId="0" applyFont="1" applyBorder="1" applyAlignment="1">
      <alignment horizontal="left" vertical="top" wrapText="1"/>
    </xf>
    <xf numFmtId="0" fontId="28" fillId="0" borderId="6" xfId="0" applyFont="1" applyBorder="1" applyAlignment="1">
      <alignment horizontal="left" vertical="top" wrapText="1"/>
    </xf>
    <xf numFmtId="0" fontId="28" fillId="0" borderId="50" xfId="0" applyFont="1" applyBorder="1" applyAlignment="1">
      <alignment vertical="top" wrapText="1"/>
    </xf>
    <xf numFmtId="0" fontId="28" fillId="0" borderId="45" xfId="0" applyFont="1" applyBorder="1" applyAlignment="1">
      <alignment vertical="top" wrapText="1"/>
    </xf>
    <xf numFmtId="49" fontId="28" fillId="0" borderId="6" xfId="0" applyNumberFormat="1" applyFont="1" applyBorder="1" applyAlignment="1">
      <alignment vertical="top" wrapText="1"/>
    </xf>
    <xf numFmtId="0" fontId="28" fillId="0" borderId="36" xfId="0" applyFont="1" applyBorder="1" applyAlignment="1">
      <alignment vertical="top" wrapText="1"/>
    </xf>
    <xf numFmtId="1" fontId="28" fillId="0" borderId="41" xfId="0" applyNumberFormat="1" applyFont="1" applyBorder="1" applyAlignment="1">
      <alignment horizontal="left" vertical="top" wrapText="1"/>
    </xf>
    <xf numFmtId="1" fontId="28" fillId="0" borderId="12" xfId="0" applyNumberFormat="1" applyFont="1" applyBorder="1" applyAlignment="1">
      <alignment horizontal="left" vertical="top" wrapText="1"/>
    </xf>
    <xf numFmtId="1" fontId="28" fillId="0" borderId="6" xfId="0" applyNumberFormat="1" applyFont="1" applyBorder="1" applyAlignment="1">
      <alignment horizontal="left" vertical="top" wrapText="1"/>
    </xf>
    <xf numFmtId="0" fontId="5" fillId="0" borderId="41" xfId="0" applyFont="1" applyBorder="1" applyAlignment="1">
      <alignment vertical="top" wrapText="1"/>
    </xf>
    <xf numFmtId="0" fontId="5" fillId="0" borderId="17" xfId="0" applyFont="1" applyBorder="1" applyAlignment="1">
      <alignment vertical="top" wrapText="1"/>
    </xf>
    <xf numFmtId="0" fontId="5" fillId="0" borderId="50" xfId="0" applyFont="1" applyBorder="1" applyAlignment="1">
      <alignment horizontal="left" vertical="top" wrapText="1"/>
    </xf>
    <xf numFmtId="0" fontId="5" fillId="0" borderId="12" xfId="0" applyFont="1" applyBorder="1" applyAlignment="1">
      <alignment horizontal="left" vertical="top" wrapText="1"/>
    </xf>
    <xf numFmtId="0" fontId="5" fillId="0" borderId="6" xfId="0" applyFont="1" applyBorder="1" applyAlignment="1">
      <alignment horizontal="left" vertical="top" wrapText="1"/>
    </xf>
    <xf numFmtId="0" fontId="5" fillId="0" borderId="71" xfId="0" applyFont="1" applyBorder="1" applyAlignment="1">
      <alignment vertical="top" wrapText="1"/>
    </xf>
    <xf numFmtId="0" fontId="25" fillId="0" borderId="0" xfId="0" applyFont="1" applyAlignment="1">
      <alignment vertical="center"/>
    </xf>
    <xf numFmtId="0" fontId="25" fillId="0" borderId="0" xfId="0" applyFont="1" applyAlignment="1">
      <alignment vertical="center" wrapText="1"/>
    </xf>
    <xf numFmtId="1" fontId="28" fillId="0" borderId="0" xfId="0" applyNumberFormat="1" applyFont="1" applyAlignment="1" applyProtection="1">
      <alignment horizontal="center" vertical="top" wrapText="1"/>
      <protection hidden="1"/>
    </xf>
    <xf numFmtId="0" fontId="28" fillId="0" borderId="0" xfId="0" applyFont="1" applyAlignment="1" applyProtection="1">
      <alignment horizontal="center" vertical="top" wrapText="1"/>
      <protection hidden="1"/>
    </xf>
    <xf numFmtId="2" fontId="28" fillId="0" borderId="0" xfId="0" applyNumberFormat="1" applyFont="1" applyAlignment="1">
      <alignment horizontal="center" vertical="top" wrapText="1"/>
    </xf>
    <xf numFmtId="1" fontId="28" fillId="2" borderId="39" xfId="0" applyNumberFormat="1" applyFont="1" applyFill="1" applyBorder="1" applyAlignment="1" applyProtection="1">
      <alignment horizontal="center" vertical="top" wrapText="1"/>
      <protection hidden="1"/>
    </xf>
    <xf numFmtId="0" fontId="28" fillId="2" borderId="49" xfId="0" applyFont="1" applyFill="1" applyBorder="1" applyAlignment="1" applyProtection="1">
      <alignment horizontal="center" vertical="top" wrapText="1"/>
      <protection hidden="1"/>
    </xf>
    <xf numFmtId="2" fontId="28" fillId="5" borderId="34" xfId="0" applyNumberFormat="1" applyFont="1" applyFill="1" applyBorder="1" applyAlignment="1">
      <alignment horizontal="center" vertical="top" wrapText="1"/>
    </xf>
    <xf numFmtId="1" fontId="28" fillId="2" borderId="1" xfId="0" applyNumberFormat="1" applyFont="1" applyFill="1" applyBorder="1" applyAlignment="1" applyProtection="1">
      <alignment horizontal="center" vertical="top" wrapText="1"/>
      <protection hidden="1"/>
    </xf>
    <xf numFmtId="0" fontId="28" fillId="2" borderId="1" xfId="0" applyFont="1" applyFill="1" applyBorder="1" applyAlignment="1" applyProtection="1">
      <alignment horizontal="center" vertical="top" wrapText="1"/>
      <protection hidden="1"/>
    </xf>
    <xf numFmtId="2" fontId="28" fillId="2" borderId="13" xfId="0" applyNumberFormat="1" applyFont="1" applyFill="1" applyBorder="1" applyAlignment="1">
      <alignment horizontal="center" vertical="top" wrapText="1"/>
    </xf>
    <xf numFmtId="2" fontId="28" fillId="2" borderId="9" xfId="0" applyNumberFormat="1" applyFont="1" applyFill="1" applyBorder="1" applyAlignment="1">
      <alignment horizontal="center" vertical="top" wrapText="1"/>
    </xf>
    <xf numFmtId="1" fontId="28" fillId="2" borderId="3" xfId="0" applyNumberFormat="1" applyFont="1" applyFill="1" applyBorder="1" applyAlignment="1" applyProtection="1">
      <alignment horizontal="center" vertical="top" wrapText="1"/>
      <protection hidden="1"/>
    </xf>
    <xf numFmtId="1" fontId="28" fillId="2" borderId="47" xfId="0" applyNumberFormat="1" applyFont="1" applyFill="1" applyBorder="1" applyAlignment="1" applyProtection="1">
      <alignment horizontal="center" vertical="top" wrapText="1"/>
      <protection hidden="1"/>
    </xf>
    <xf numFmtId="0" fontId="28" fillId="2" borderId="47" xfId="0" applyFont="1" applyFill="1" applyBorder="1" applyAlignment="1" applyProtection="1">
      <alignment horizontal="center" vertical="top" wrapText="1"/>
      <protection hidden="1"/>
    </xf>
    <xf numFmtId="2" fontId="28" fillId="2" borderId="48" xfId="0" applyNumberFormat="1" applyFont="1" applyFill="1" applyBorder="1" applyAlignment="1">
      <alignment horizontal="center" vertical="top" wrapText="1"/>
    </xf>
    <xf numFmtId="2" fontId="28" fillId="5" borderId="5" xfId="0" applyNumberFormat="1" applyFont="1" applyFill="1" applyBorder="1" applyAlignment="1">
      <alignment horizontal="center" vertical="top" wrapText="1"/>
    </xf>
    <xf numFmtId="2" fontId="28" fillId="2" borderId="38" xfId="0" applyNumberFormat="1" applyFont="1" applyFill="1" applyBorder="1" applyAlignment="1">
      <alignment horizontal="center" vertical="top" wrapText="1"/>
    </xf>
    <xf numFmtId="2" fontId="28" fillId="2" borderId="27" xfId="0" applyNumberFormat="1" applyFont="1" applyFill="1" applyBorder="1" applyAlignment="1">
      <alignment horizontal="center" vertical="top" wrapText="1"/>
    </xf>
    <xf numFmtId="2" fontId="28" fillId="2" borderId="62" xfId="0" applyNumberFormat="1" applyFont="1" applyFill="1" applyBorder="1" applyAlignment="1">
      <alignment horizontal="center" vertical="top" wrapText="1"/>
    </xf>
    <xf numFmtId="2" fontId="28" fillId="2" borderId="40" xfId="0" applyNumberFormat="1" applyFont="1" applyFill="1" applyBorder="1" applyAlignment="1">
      <alignment horizontal="center" vertical="top" wrapText="1"/>
    </xf>
    <xf numFmtId="1" fontId="28" fillId="2" borderId="4" xfId="0" applyNumberFormat="1" applyFont="1" applyFill="1" applyBorder="1" applyAlignment="1" applyProtection="1">
      <alignment horizontal="center" vertical="top" wrapText="1"/>
      <protection hidden="1"/>
    </xf>
    <xf numFmtId="2" fontId="28" fillId="5" borderId="22" xfId="0" applyNumberFormat="1" applyFont="1" applyFill="1" applyBorder="1" applyAlignment="1">
      <alignment horizontal="center" vertical="top" wrapText="1"/>
    </xf>
    <xf numFmtId="0" fontId="28" fillId="2" borderId="3" xfId="0" applyFont="1" applyFill="1" applyBorder="1" applyAlignment="1" applyProtection="1">
      <alignment horizontal="center" vertical="top" wrapText="1"/>
      <protection hidden="1"/>
    </xf>
    <xf numFmtId="0" fontId="28" fillId="2" borderId="35" xfId="0" applyFont="1" applyFill="1" applyBorder="1" applyAlignment="1" applyProtection="1">
      <alignment horizontal="center" vertical="top" wrapText="1"/>
      <protection hidden="1"/>
    </xf>
    <xf numFmtId="2" fontId="28" fillId="2" borderId="2" xfId="0" applyNumberFormat="1" applyFont="1" applyFill="1" applyBorder="1" applyAlignment="1">
      <alignment horizontal="center" vertical="top" wrapText="1"/>
    </xf>
    <xf numFmtId="2" fontId="28" fillId="2" borderId="49" xfId="0" applyNumberFormat="1" applyFont="1" applyFill="1" applyBorder="1" applyAlignment="1" applyProtection="1">
      <alignment horizontal="center" vertical="top" wrapText="1"/>
      <protection hidden="1"/>
    </xf>
    <xf numFmtId="0" fontId="28" fillId="2" borderId="8" xfId="0" applyFont="1" applyFill="1" applyBorder="1" applyAlignment="1" applyProtection="1">
      <alignment horizontal="center" vertical="top" wrapText="1"/>
      <protection hidden="1"/>
    </xf>
    <xf numFmtId="2" fontId="28" fillId="2" borderId="8" xfId="0" applyNumberFormat="1" applyFont="1" applyFill="1" applyBorder="1" applyAlignment="1">
      <alignment horizontal="center" vertical="top" wrapText="1"/>
    </xf>
    <xf numFmtId="1" fontId="28" fillId="2" borderId="6" xfId="0" applyNumberFormat="1" applyFont="1" applyFill="1" applyBorder="1" applyAlignment="1" applyProtection="1">
      <alignment horizontal="center" vertical="top" wrapText="1"/>
      <protection hidden="1"/>
    </xf>
    <xf numFmtId="2" fontId="28" fillId="2" borderId="28" xfId="0" applyNumberFormat="1" applyFont="1" applyFill="1" applyBorder="1" applyAlignment="1">
      <alignment horizontal="center" vertical="top" wrapText="1"/>
    </xf>
    <xf numFmtId="2" fontId="28" fillId="13" borderId="34" xfId="0" applyNumberFormat="1" applyFont="1" applyFill="1" applyBorder="1" applyAlignment="1">
      <alignment horizontal="center" vertical="top" wrapText="1"/>
    </xf>
    <xf numFmtId="0" fontId="28" fillId="0" borderId="0" xfId="0" applyFont="1" applyAlignment="1">
      <alignment horizontal="center" vertical="top" wrapText="1"/>
    </xf>
    <xf numFmtId="0" fontId="25" fillId="0" borderId="0" xfId="0" applyFont="1" applyAlignment="1">
      <alignment horizontal="center" vertical="top" wrapText="1"/>
    </xf>
    <xf numFmtId="2" fontId="5" fillId="6" borderId="39" xfId="0" applyNumberFormat="1" applyFont="1" applyFill="1" applyBorder="1" applyAlignment="1">
      <alignment horizontal="center" vertical="top" wrapText="1"/>
    </xf>
    <xf numFmtId="2" fontId="5" fillId="6" borderId="1" xfId="0" applyNumberFormat="1" applyFont="1" applyFill="1" applyBorder="1" applyAlignment="1">
      <alignment horizontal="center" vertical="top" wrapText="1"/>
    </xf>
    <xf numFmtId="2" fontId="28" fillId="7" borderId="5" xfId="0" applyNumberFormat="1" applyFont="1" applyFill="1" applyBorder="1" applyAlignment="1">
      <alignment horizontal="center" vertical="top" wrapText="1"/>
    </xf>
    <xf numFmtId="0" fontId="5" fillId="0" borderId="34" xfId="0" applyFont="1" applyBorder="1" applyAlignment="1">
      <alignment horizontal="left" vertical="top" wrapText="1"/>
    </xf>
    <xf numFmtId="1" fontId="5" fillId="0" borderId="71" xfId="0" applyNumberFormat="1" applyFont="1" applyBorder="1" applyAlignment="1">
      <alignment vertical="top" wrapText="1"/>
    </xf>
    <xf numFmtId="1" fontId="5" fillId="0" borderId="12" xfId="0" applyNumberFormat="1" applyFont="1" applyBorder="1" applyAlignment="1">
      <alignment vertical="top" wrapText="1"/>
    </xf>
    <xf numFmtId="1" fontId="5" fillId="0" borderId="6" xfId="0" applyNumberFormat="1" applyFont="1" applyBorder="1" applyAlignment="1">
      <alignment vertical="top" wrapText="1"/>
    </xf>
    <xf numFmtId="1" fontId="5" fillId="0" borderId="17" xfId="0" applyNumberFormat="1" applyFont="1" applyBorder="1" applyAlignment="1">
      <alignment vertical="top" wrapText="1"/>
    </xf>
    <xf numFmtId="2" fontId="5" fillId="5" borderId="5" xfId="0" applyNumberFormat="1" applyFont="1" applyFill="1" applyBorder="1" applyAlignment="1">
      <alignment horizontal="center" vertical="top"/>
    </xf>
    <xf numFmtId="2" fontId="5" fillId="7" borderId="5" xfId="0" applyNumberFormat="1" applyFont="1" applyFill="1" applyBorder="1" applyAlignment="1">
      <alignment horizontal="center" vertical="top"/>
    </xf>
    <xf numFmtId="1" fontId="5" fillId="2" borderId="39" xfId="0" applyNumberFormat="1" applyFont="1" applyFill="1" applyBorder="1" applyAlignment="1">
      <alignment horizontal="center" vertical="top"/>
    </xf>
    <xf numFmtId="2" fontId="5" fillId="5" borderId="34" xfId="0" applyNumberFormat="1" applyFont="1" applyFill="1" applyBorder="1" applyAlignment="1">
      <alignment horizontal="center" vertical="top"/>
    </xf>
    <xf numFmtId="2" fontId="5" fillId="2" borderId="8" xfId="0" applyNumberFormat="1" applyFont="1" applyFill="1" applyBorder="1" applyAlignment="1">
      <alignment horizontal="center" vertical="top"/>
    </xf>
    <xf numFmtId="2" fontId="5" fillId="2" borderId="2" xfId="0" applyNumberFormat="1" applyFont="1" applyFill="1" applyBorder="1" applyAlignment="1">
      <alignment horizontal="center" vertical="top"/>
    </xf>
    <xf numFmtId="2" fontId="5" fillId="2" borderId="48" xfId="0" applyNumberFormat="1" applyFont="1" applyFill="1" applyBorder="1" applyAlignment="1">
      <alignment horizontal="center" vertical="top"/>
    </xf>
    <xf numFmtId="0" fontId="5" fillId="14" borderId="12" xfId="0" applyFont="1" applyFill="1" applyBorder="1" applyAlignment="1">
      <alignment horizontal="center" vertical="top" wrapText="1"/>
    </xf>
    <xf numFmtId="0" fontId="5" fillId="14" borderId="4" xfId="0" applyFont="1" applyFill="1" applyBorder="1" applyAlignment="1">
      <alignment horizontal="center" vertical="top" wrapText="1"/>
    </xf>
    <xf numFmtId="2" fontId="5" fillId="5" borderId="22" xfId="0" applyNumberFormat="1" applyFont="1" applyFill="1" applyBorder="1" applyAlignment="1">
      <alignment horizontal="center" vertical="top"/>
    </xf>
    <xf numFmtId="0" fontId="5" fillId="14" borderId="6" xfId="0" applyFont="1" applyFill="1" applyBorder="1" applyAlignment="1">
      <alignment horizontal="center" vertical="top" wrapText="1"/>
    </xf>
    <xf numFmtId="1" fontId="5" fillId="14" borderId="1" xfId="0" applyNumberFormat="1" applyFont="1" applyFill="1" applyBorder="1" applyAlignment="1">
      <alignment horizontal="center" vertical="top"/>
    </xf>
    <xf numFmtId="2" fontId="5" fillId="14" borderId="2" xfId="0" applyNumberFormat="1" applyFont="1" applyFill="1" applyBorder="1" applyAlignment="1">
      <alignment horizontal="center" vertical="top" wrapText="1"/>
    </xf>
    <xf numFmtId="2" fontId="5" fillId="14" borderId="9" xfId="0" applyNumberFormat="1" applyFont="1" applyFill="1" applyBorder="1" applyAlignment="1">
      <alignment horizontal="center" vertical="top" wrapText="1"/>
    </xf>
    <xf numFmtId="2" fontId="5" fillId="2" borderId="9" xfId="0" applyNumberFormat="1" applyFont="1" applyFill="1" applyBorder="1" applyAlignment="1">
      <alignment horizontal="center" vertical="top"/>
    </xf>
    <xf numFmtId="0" fontId="5" fillId="14" borderId="8" xfId="0" applyFont="1" applyFill="1" applyBorder="1" applyAlignment="1">
      <alignment horizontal="center" vertical="top" wrapText="1"/>
    </xf>
    <xf numFmtId="2" fontId="5" fillId="7" borderId="22" xfId="0" applyNumberFormat="1" applyFont="1" applyFill="1" applyBorder="1" applyAlignment="1">
      <alignment horizontal="center" vertical="top"/>
    </xf>
    <xf numFmtId="0" fontId="5" fillId="14" borderId="1" xfId="0" applyFont="1" applyFill="1" applyBorder="1" applyAlignment="1">
      <alignment horizontal="center" vertical="top" wrapText="1"/>
    </xf>
    <xf numFmtId="2" fontId="5" fillId="14" borderId="8" xfId="0" applyNumberFormat="1" applyFont="1" applyFill="1" applyBorder="1" applyAlignment="1">
      <alignment horizontal="center" vertical="top" wrapText="1"/>
    </xf>
    <xf numFmtId="0" fontId="5" fillId="14" borderId="3" xfId="0" applyFont="1" applyFill="1" applyBorder="1" applyAlignment="1">
      <alignment horizontal="center" vertical="top" wrapText="1"/>
    </xf>
    <xf numFmtId="0" fontId="5" fillId="14" borderId="39" xfId="0" applyFont="1" applyFill="1" applyBorder="1" applyAlignment="1">
      <alignment horizontal="center" vertical="top" wrapText="1"/>
    </xf>
    <xf numFmtId="0" fontId="5" fillId="14" borderId="35" xfId="0" applyFont="1" applyFill="1" applyBorder="1" applyAlignment="1">
      <alignment horizontal="center" vertical="top" wrapText="1"/>
    </xf>
    <xf numFmtId="2" fontId="5" fillId="7" borderId="34" xfId="0" applyNumberFormat="1" applyFont="1" applyFill="1" applyBorder="1" applyAlignment="1">
      <alignment horizontal="center" vertical="top"/>
    </xf>
    <xf numFmtId="0" fontId="5" fillId="14" borderId="47" xfId="0" applyFont="1" applyFill="1" applyBorder="1" applyAlignment="1">
      <alignment horizontal="center" vertical="top" wrapText="1"/>
    </xf>
    <xf numFmtId="2" fontId="5" fillId="14" borderId="48" xfId="0" applyNumberFormat="1" applyFont="1" applyFill="1" applyBorder="1" applyAlignment="1">
      <alignment horizontal="center" vertical="top" wrapText="1"/>
    </xf>
    <xf numFmtId="1" fontId="5" fillId="14" borderId="35" xfId="0" applyNumberFormat="1" applyFont="1" applyFill="1" applyBorder="1" applyAlignment="1">
      <alignment horizontal="center" vertical="top"/>
    </xf>
    <xf numFmtId="2" fontId="5" fillId="14" borderId="8" xfId="0" applyNumberFormat="1" applyFont="1" applyFill="1" applyBorder="1" applyAlignment="1">
      <alignment horizontal="center" vertical="top"/>
    </xf>
    <xf numFmtId="2" fontId="5" fillId="14" borderId="2" xfId="0" applyNumberFormat="1" applyFont="1" applyFill="1" applyBorder="1" applyAlignment="1">
      <alignment horizontal="center" vertical="top"/>
    </xf>
    <xf numFmtId="1" fontId="5" fillId="14" borderId="47" xfId="0" applyNumberFormat="1" applyFont="1" applyFill="1" applyBorder="1" applyAlignment="1">
      <alignment horizontal="center" vertical="top"/>
    </xf>
    <xf numFmtId="0" fontId="5" fillId="14" borderId="51" xfId="0" applyFont="1" applyFill="1" applyBorder="1" applyAlignment="1">
      <alignment horizontal="center" vertical="top" wrapText="1"/>
    </xf>
    <xf numFmtId="2" fontId="5" fillId="7" borderId="34" xfId="0" applyNumberFormat="1" applyFont="1" applyFill="1" applyBorder="1" applyAlignment="1">
      <alignment horizontal="center" vertical="top" wrapText="1"/>
    </xf>
    <xf numFmtId="0" fontId="5" fillId="14" borderId="13" xfId="0" applyFont="1" applyFill="1" applyBorder="1" applyAlignment="1">
      <alignment horizontal="center" vertical="top" wrapText="1"/>
    </xf>
    <xf numFmtId="2" fontId="5" fillId="14" borderId="13" xfId="0" applyNumberFormat="1" applyFont="1" applyFill="1" applyBorder="1" applyAlignment="1">
      <alignment horizontal="center" vertical="top" wrapText="1"/>
    </xf>
    <xf numFmtId="1" fontId="5" fillId="2" borderId="17" xfId="0" applyNumberFormat="1" applyFont="1" applyFill="1" applyBorder="1" applyAlignment="1">
      <alignment horizontal="center" vertical="top" wrapText="1"/>
    </xf>
    <xf numFmtId="0" fontId="5" fillId="14" borderId="44" xfId="0" applyFont="1" applyFill="1" applyBorder="1" applyAlignment="1">
      <alignment horizontal="center" vertical="top" wrapText="1"/>
    </xf>
    <xf numFmtId="1" fontId="5" fillId="0" borderId="41" xfId="0" applyNumberFormat="1" applyFont="1" applyBorder="1" applyAlignment="1">
      <alignment horizontal="left" vertical="top" wrapText="1"/>
    </xf>
    <xf numFmtId="1" fontId="5" fillId="0" borderId="12" xfId="0" applyNumberFormat="1" applyFont="1" applyBorder="1" applyAlignment="1">
      <alignment horizontal="left" vertical="top" wrapText="1"/>
    </xf>
    <xf numFmtId="1" fontId="5" fillId="0" borderId="6" xfId="0" applyNumberFormat="1" applyFont="1" applyBorder="1" applyAlignment="1">
      <alignment horizontal="left" vertical="top" wrapText="1"/>
    </xf>
    <xf numFmtId="1" fontId="5" fillId="0" borderId="17" xfId="0" applyNumberFormat="1" applyFont="1" applyBorder="1" applyAlignment="1">
      <alignment horizontal="left" vertical="top" wrapText="1"/>
    </xf>
    <xf numFmtId="2" fontId="5" fillId="5" borderId="34" xfId="0" applyNumberFormat="1" applyFont="1" applyFill="1" applyBorder="1" applyAlignment="1">
      <alignment horizontal="center" vertical="top" wrapText="1"/>
    </xf>
    <xf numFmtId="2" fontId="5" fillId="5" borderId="22" xfId="0" applyNumberFormat="1" applyFont="1" applyFill="1" applyBorder="1" applyAlignment="1">
      <alignment horizontal="center" vertical="top" wrapText="1"/>
    </xf>
    <xf numFmtId="0" fontId="5" fillId="14" borderId="66" xfId="0" applyFont="1" applyFill="1" applyBorder="1" applyAlignment="1">
      <alignment horizontal="center" vertical="top" wrapText="1"/>
    </xf>
    <xf numFmtId="0" fontId="5" fillId="14" borderId="50" xfId="0" applyFont="1" applyFill="1" applyBorder="1" applyAlignment="1">
      <alignment horizontal="center" vertical="top" wrapText="1"/>
    </xf>
    <xf numFmtId="2" fontId="5" fillId="15" borderId="22" xfId="0" applyNumberFormat="1" applyFont="1" applyFill="1" applyBorder="1" applyAlignment="1">
      <alignment horizontal="center" vertical="top" wrapText="1"/>
    </xf>
    <xf numFmtId="2" fontId="5" fillId="7" borderId="22" xfId="0" applyNumberFormat="1" applyFont="1" applyFill="1" applyBorder="1" applyAlignment="1">
      <alignment horizontal="center" vertical="top" wrapText="1"/>
    </xf>
    <xf numFmtId="1" fontId="5" fillId="0" borderId="13" xfId="0" applyNumberFormat="1" applyFont="1" applyBorder="1" applyAlignment="1">
      <alignment horizontal="left" vertical="top" wrapText="1"/>
    </xf>
    <xf numFmtId="0" fontId="5" fillId="0" borderId="18" xfId="0" applyFont="1" applyBorder="1" applyAlignment="1">
      <alignment vertical="top" wrapText="1"/>
    </xf>
    <xf numFmtId="0" fontId="5" fillId="0" borderId="11" xfId="0" applyFont="1" applyBorder="1" applyAlignment="1">
      <alignment horizontal="left" vertical="top" wrapText="1"/>
    </xf>
    <xf numFmtId="0" fontId="28" fillId="0" borderId="34" xfId="0" applyFont="1" applyBorder="1" applyAlignment="1">
      <alignment horizontal="left" vertical="top" wrapText="1"/>
    </xf>
    <xf numFmtId="1" fontId="28" fillId="0" borderId="34" xfId="0" applyNumberFormat="1" applyFont="1" applyBorder="1" applyAlignment="1">
      <alignment horizontal="left" vertical="top" wrapText="1"/>
    </xf>
    <xf numFmtId="0" fontId="28" fillId="0" borderId="34" xfId="0" applyFont="1" applyBorder="1" applyAlignment="1">
      <alignment vertical="top" wrapText="1"/>
    </xf>
    <xf numFmtId="0" fontId="28" fillId="0" borderId="71" xfId="0" applyFont="1" applyBorder="1" applyAlignment="1">
      <alignment vertical="top" wrapText="1"/>
    </xf>
    <xf numFmtId="1" fontId="28" fillId="0" borderId="41" xfId="0" applyNumberFormat="1" applyFont="1" applyBorder="1" applyAlignment="1">
      <alignment vertical="top" wrapText="1"/>
    </xf>
    <xf numFmtId="1" fontId="28" fillId="0" borderId="12" xfId="0" applyNumberFormat="1" applyFont="1" applyBorder="1" applyAlignment="1">
      <alignment vertical="top" wrapText="1"/>
    </xf>
    <xf numFmtId="1" fontId="28" fillId="0" borderId="6" xfId="0" applyNumberFormat="1" applyFont="1" applyBorder="1" applyAlignment="1">
      <alignment vertical="top" wrapText="1"/>
    </xf>
    <xf numFmtId="1" fontId="28" fillId="0" borderId="50" xfId="0" applyNumberFormat="1" applyFont="1" applyBorder="1" applyAlignment="1">
      <alignment vertical="top" wrapText="1"/>
    </xf>
    <xf numFmtId="1" fontId="28" fillId="0" borderId="71" xfId="0" applyNumberFormat="1" applyFont="1" applyBorder="1" applyAlignment="1">
      <alignment vertical="top" wrapText="1"/>
    </xf>
    <xf numFmtId="1" fontId="28" fillId="0" borderId="53" xfId="0" applyNumberFormat="1" applyFont="1" applyBorder="1" applyAlignment="1">
      <alignment horizontal="left" vertical="top" wrapText="1"/>
    </xf>
    <xf numFmtId="2" fontId="28" fillId="5" borderId="34" xfId="0" applyNumberFormat="1" applyFont="1" applyFill="1" applyBorder="1" applyAlignment="1">
      <alignment horizontal="center" vertical="top"/>
    </xf>
    <xf numFmtId="2" fontId="28" fillId="7" borderId="34" xfId="0" applyNumberFormat="1" applyFont="1" applyFill="1" applyBorder="1" applyAlignment="1">
      <alignment horizontal="center" vertical="top" wrapText="1"/>
    </xf>
    <xf numFmtId="0" fontId="28" fillId="2" borderId="39" xfId="0" applyFont="1" applyFill="1" applyBorder="1" applyAlignment="1">
      <alignment horizontal="center" vertical="top" wrapText="1"/>
    </xf>
    <xf numFmtId="1" fontId="28" fillId="2" borderId="47" xfId="0" applyNumberFormat="1" applyFont="1" applyFill="1" applyBorder="1" applyAlignment="1">
      <alignment horizontal="center" vertical="top" wrapText="1"/>
    </xf>
    <xf numFmtId="1" fontId="28" fillId="2" borderId="35" xfId="0" applyNumberFormat="1" applyFont="1" applyFill="1" applyBorder="1" applyAlignment="1">
      <alignment horizontal="center" vertical="top" wrapText="1"/>
    </xf>
    <xf numFmtId="1" fontId="28" fillId="2" borderId="39" xfId="0" applyNumberFormat="1" applyFont="1" applyFill="1" applyBorder="1" applyAlignment="1">
      <alignment horizontal="center" vertical="top" wrapText="1"/>
    </xf>
    <xf numFmtId="1" fontId="28" fillId="2" borderId="4" xfId="0" applyNumberFormat="1" applyFont="1" applyFill="1" applyBorder="1" applyAlignment="1">
      <alignment horizontal="center" vertical="top" wrapText="1"/>
    </xf>
    <xf numFmtId="2" fontId="28" fillId="5" borderId="22" xfId="0" applyNumberFormat="1" applyFont="1" applyFill="1" applyBorder="1" applyAlignment="1">
      <alignment horizontal="center" vertical="top"/>
    </xf>
    <xf numFmtId="1" fontId="28" fillId="2" borderId="44" xfId="0" applyNumberFormat="1" applyFont="1" applyFill="1" applyBorder="1" applyAlignment="1">
      <alignment horizontal="center" vertical="top" wrapText="1"/>
    </xf>
    <xf numFmtId="1" fontId="28" fillId="2" borderId="6" xfId="0" applyNumberFormat="1" applyFont="1" applyFill="1" applyBorder="1" applyAlignment="1">
      <alignment horizontal="center" vertical="top" wrapText="1"/>
    </xf>
    <xf numFmtId="1" fontId="28" fillId="2" borderId="50" xfId="0" applyNumberFormat="1" applyFont="1" applyFill="1" applyBorder="1" applyAlignment="1">
      <alignment horizontal="center" vertical="top" wrapText="1"/>
    </xf>
    <xf numFmtId="2" fontId="28" fillId="7" borderId="22" xfId="0" applyNumberFormat="1" applyFont="1" applyFill="1" applyBorder="1" applyAlignment="1">
      <alignment horizontal="center" vertical="top" wrapText="1"/>
    </xf>
    <xf numFmtId="1" fontId="28" fillId="2" borderId="2" xfId="0" applyNumberFormat="1" applyFont="1" applyFill="1" applyBorder="1" applyAlignment="1">
      <alignment horizontal="center" vertical="top" wrapText="1"/>
    </xf>
    <xf numFmtId="1" fontId="28" fillId="2" borderId="48" xfId="0" applyNumberFormat="1" applyFont="1" applyFill="1" applyBorder="1" applyAlignment="1">
      <alignment horizontal="center" vertical="top" wrapText="1"/>
    </xf>
    <xf numFmtId="1" fontId="28" fillId="2" borderId="51" xfId="0" applyNumberFormat="1" applyFont="1" applyFill="1" applyBorder="1" applyAlignment="1">
      <alignment horizontal="center" vertical="top" wrapText="1"/>
    </xf>
    <xf numFmtId="2" fontId="28" fillId="0" borderId="44" xfId="0" applyNumberFormat="1" applyFont="1" applyBorder="1" applyAlignment="1">
      <alignment horizontal="center" vertical="top" wrapText="1"/>
    </xf>
    <xf numFmtId="1" fontId="28" fillId="2" borderId="11" xfId="0" applyNumberFormat="1" applyFont="1" applyFill="1" applyBorder="1" applyAlignment="1">
      <alignment horizontal="center" vertical="top" wrapText="1"/>
    </xf>
    <xf numFmtId="1" fontId="28" fillId="2" borderId="7" xfId="0" applyNumberFormat="1" applyFont="1" applyFill="1" applyBorder="1" applyAlignment="1">
      <alignment horizontal="center" vertical="top" wrapText="1"/>
    </xf>
    <xf numFmtId="1" fontId="28" fillId="2" borderId="13" xfId="0" applyNumberFormat="1" applyFont="1" applyFill="1" applyBorder="1" applyAlignment="1">
      <alignment horizontal="center" vertical="top" wrapText="1"/>
    </xf>
    <xf numFmtId="2" fontId="28" fillId="14" borderId="2" xfId="0" applyNumberFormat="1" applyFont="1" applyFill="1" applyBorder="1" applyAlignment="1">
      <alignment horizontal="center" vertical="top" wrapText="1"/>
    </xf>
    <xf numFmtId="2" fontId="28" fillId="14" borderId="48" xfId="0" applyNumberFormat="1" applyFont="1" applyFill="1" applyBorder="1" applyAlignment="1">
      <alignment horizontal="center" vertical="top" wrapText="1"/>
    </xf>
    <xf numFmtId="1" fontId="28" fillId="14" borderId="1" xfId="0" applyNumberFormat="1" applyFont="1" applyFill="1" applyBorder="1" applyAlignment="1">
      <alignment horizontal="center" vertical="top" wrapText="1"/>
    </xf>
    <xf numFmtId="1" fontId="28" fillId="14" borderId="47" xfId="0" applyNumberFormat="1" applyFont="1" applyFill="1" applyBorder="1" applyAlignment="1">
      <alignment horizontal="center" vertical="top" wrapText="1"/>
    </xf>
    <xf numFmtId="1" fontId="28" fillId="0" borderId="0" xfId="0" applyNumberFormat="1" applyFont="1" applyAlignment="1">
      <alignment horizontal="center" vertical="top" wrapText="1"/>
    </xf>
    <xf numFmtId="1" fontId="28" fillId="14" borderId="4" xfId="0" applyNumberFormat="1" applyFont="1" applyFill="1" applyBorder="1" applyAlignment="1">
      <alignment horizontal="center" vertical="top" wrapText="1"/>
    </xf>
    <xf numFmtId="1" fontId="28" fillId="0" borderId="34" xfId="0" applyNumberFormat="1" applyFont="1" applyBorder="1" applyAlignment="1">
      <alignment vertical="top" wrapText="1"/>
    </xf>
    <xf numFmtId="0" fontId="28" fillId="0" borderId="71" xfId="0" applyFont="1" applyBorder="1" applyAlignment="1">
      <alignment horizontal="left" vertical="top" wrapText="1"/>
    </xf>
    <xf numFmtId="0" fontId="28" fillId="0" borderId="17" xfId="0" applyFont="1" applyBorder="1" applyAlignment="1">
      <alignment horizontal="left" vertical="top" wrapText="1"/>
    </xf>
    <xf numFmtId="1" fontId="28" fillId="0" borderId="53" xfId="0" applyNumberFormat="1" applyFont="1" applyBorder="1" applyAlignment="1">
      <alignment vertical="top" wrapText="1"/>
    </xf>
    <xf numFmtId="1" fontId="28" fillId="0" borderId="17" xfId="0" applyNumberFormat="1" applyFont="1" applyBorder="1" applyAlignment="1">
      <alignment vertical="top" wrapText="1"/>
    </xf>
    <xf numFmtId="2" fontId="28" fillId="2" borderId="39" xfId="0" applyNumberFormat="1" applyFont="1" applyFill="1" applyBorder="1" applyAlignment="1">
      <alignment horizontal="center" vertical="top" wrapText="1"/>
    </xf>
    <xf numFmtId="2" fontId="28" fillId="2" borderId="35" xfId="0" applyNumberFormat="1" applyFont="1" applyFill="1" applyBorder="1" applyAlignment="1">
      <alignment horizontal="center" vertical="top" wrapText="1"/>
    </xf>
    <xf numFmtId="0" fontId="28" fillId="2" borderId="57" xfId="0" applyFont="1" applyFill="1" applyBorder="1" applyAlignment="1">
      <alignment horizontal="center" vertical="top" wrapText="1"/>
    </xf>
    <xf numFmtId="0" fontId="28" fillId="2" borderId="12" xfId="0" applyFont="1" applyFill="1" applyBorder="1" applyAlignment="1">
      <alignment horizontal="center" vertical="top" wrapText="1"/>
    </xf>
    <xf numFmtId="0" fontId="5" fillId="0" borderId="14" xfId="0" applyFont="1" applyBorder="1" applyAlignment="1">
      <alignment vertical="top" wrapText="1"/>
    </xf>
    <xf numFmtId="0" fontId="5" fillId="0" borderId="56" xfId="0" applyFont="1" applyBorder="1" applyAlignment="1">
      <alignment vertical="top" wrapText="1"/>
    </xf>
    <xf numFmtId="1" fontId="5" fillId="0" borderId="45" xfId="0" applyNumberFormat="1" applyFont="1" applyBorder="1" applyAlignment="1">
      <alignment vertical="top" wrapText="1"/>
    </xf>
    <xf numFmtId="2" fontId="5" fillId="2" borderId="8" xfId="0" applyNumberFormat="1" applyFont="1" applyFill="1" applyBorder="1" applyAlignment="1">
      <alignment horizontal="center" vertical="top" wrapText="1"/>
    </xf>
    <xf numFmtId="2" fontId="5" fillId="2" borderId="2" xfId="0" applyNumberFormat="1" applyFont="1" applyFill="1" applyBorder="1" applyAlignment="1">
      <alignment horizontal="center" vertical="top" wrapText="1"/>
    </xf>
    <xf numFmtId="2" fontId="5" fillId="2" borderId="48" xfId="0" applyNumberFormat="1" applyFont="1" applyFill="1" applyBorder="1" applyAlignment="1">
      <alignment horizontal="center" vertical="top" wrapText="1"/>
    </xf>
    <xf numFmtId="1" fontId="43" fillId="2" borderId="39" xfId="0" applyNumberFormat="1" applyFont="1" applyFill="1" applyBorder="1" applyAlignment="1">
      <alignment horizontal="center" vertical="top" wrapText="1"/>
    </xf>
    <xf numFmtId="1" fontId="5" fillId="14" borderId="4" xfId="0" applyNumberFormat="1" applyFont="1" applyFill="1" applyBorder="1" applyAlignment="1">
      <alignment horizontal="center" vertical="top" wrapText="1"/>
    </xf>
    <xf numFmtId="1" fontId="5" fillId="14" borderId="8" xfId="0" applyNumberFormat="1" applyFont="1" applyFill="1" applyBorder="1" applyAlignment="1">
      <alignment horizontal="center" vertical="top" wrapText="1"/>
    </xf>
    <xf numFmtId="1" fontId="5" fillId="14" borderId="1" xfId="0" applyNumberFormat="1" applyFont="1" applyFill="1" applyBorder="1" applyAlignment="1">
      <alignment horizontal="center" vertical="top" wrapText="1"/>
    </xf>
    <xf numFmtId="1" fontId="5" fillId="2" borderId="57" xfId="0" applyNumberFormat="1" applyFont="1" applyFill="1" applyBorder="1" applyAlignment="1">
      <alignment horizontal="center" vertical="top" wrapText="1"/>
    </xf>
    <xf numFmtId="2" fontId="5" fillId="2" borderId="9" xfId="0" applyNumberFormat="1" applyFont="1" applyFill="1" applyBorder="1" applyAlignment="1">
      <alignment horizontal="center" vertical="top" wrapText="1"/>
    </xf>
    <xf numFmtId="2" fontId="5" fillId="2" borderId="13" xfId="0" applyNumberFormat="1" applyFont="1" applyFill="1" applyBorder="1" applyAlignment="1">
      <alignment horizontal="center" vertical="top" wrapText="1"/>
    </xf>
    <xf numFmtId="1" fontId="5" fillId="2" borderId="49" xfId="0" applyNumberFormat="1" applyFont="1" applyFill="1" applyBorder="1" applyAlignment="1">
      <alignment horizontal="center" vertical="top" wrapText="1"/>
    </xf>
    <xf numFmtId="2" fontId="5" fillId="2" borderId="35" xfId="0" applyNumberFormat="1" applyFont="1" applyFill="1" applyBorder="1" applyAlignment="1">
      <alignment horizontal="center" vertical="top" wrapText="1"/>
    </xf>
    <xf numFmtId="1" fontId="5" fillId="0" borderId="0" xfId="0" applyNumberFormat="1" applyFont="1" applyAlignment="1">
      <alignment horizontal="center" vertical="top" wrapText="1"/>
    </xf>
    <xf numFmtId="2" fontId="5" fillId="0" borderId="0" xfId="0" applyNumberFormat="1" applyFont="1" applyAlignment="1">
      <alignment horizontal="center" vertical="top" wrapText="1"/>
    </xf>
    <xf numFmtId="0" fontId="5" fillId="0" borderId="64" xfId="0" applyFont="1" applyBorder="1" applyAlignment="1">
      <alignment vertical="top" wrapText="1"/>
    </xf>
    <xf numFmtId="0" fontId="5" fillId="0" borderId="26" xfId="0" applyFont="1" applyBorder="1" applyAlignment="1">
      <alignment vertical="top" wrapText="1"/>
    </xf>
    <xf numFmtId="0" fontId="5" fillId="0" borderId="20" xfId="0" applyFont="1" applyBorder="1" applyAlignment="1">
      <alignment vertical="top" wrapText="1"/>
    </xf>
    <xf numFmtId="2" fontId="5" fillId="5" borderId="5" xfId="0" applyNumberFormat="1" applyFont="1" applyFill="1" applyBorder="1" applyAlignment="1">
      <alignment horizontal="center" vertical="top" wrapText="1"/>
    </xf>
    <xf numFmtId="1" fontId="5" fillId="0" borderId="50" xfId="0" applyNumberFormat="1" applyFont="1" applyBorder="1" applyAlignment="1">
      <alignment horizontal="left" vertical="top" wrapText="1"/>
    </xf>
    <xf numFmtId="1" fontId="5" fillId="0" borderId="41" xfId="0" applyNumberFormat="1" applyFont="1" applyBorder="1" applyAlignment="1">
      <alignment vertical="top" wrapText="1"/>
    </xf>
    <xf numFmtId="1" fontId="5" fillId="0" borderId="11" xfId="0" applyNumberFormat="1" applyFont="1" applyBorder="1" applyAlignment="1">
      <alignment horizontal="left" vertical="top" wrapText="1"/>
    </xf>
    <xf numFmtId="1" fontId="5" fillId="0" borderId="56" xfId="0" applyNumberFormat="1" applyFont="1" applyBorder="1" applyAlignment="1">
      <alignment vertical="top" wrapText="1"/>
    </xf>
    <xf numFmtId="2" fontId="5" fillId="2" borderId="1" xfId="0" applyNumberFormat="1" applyFont="1" applyFill="1" applyBorder="1" applyAlignment="1">
      <alignment horizontal="center" vertical="top" wrapText="1"/>
    </xf>
    <xf numFmtId="2" fontId="5" fillId="2" borderId="47" xfId="0" applyNumberFormat="1" applyFont="1" applyFill="1" applyBorder="1" applyAlignment="1">
      <alignment horizontal="center" vertical="top" wrapText="1"/>
    </xf>
    <xf numFmtId="0" fontId="5" fillId="2" borderId="45" xfId="0" applyFont="1" applyFill="1" applyBorder="1" applyAlignment="1">
      <alignment horizontal="center" vertical="top" wrapText="1"/>
    </xf>
    <xf numFmtId="1" fontId="5" fillId="2" borderId="0" xfId="0" applyNumberFormat="1" applyFont="1" applyFill="1" applyAlignment="1">
      <alignment horizontal="center" vertical="top" wrapText="1"/>
    </xf>
    <xf numFmtId="2" fontId="5" fillId="16" borderId="22" xfId="0" applyNumberFormat="1" applyFont="1" applyFill="1" applyBorder="1" applyAlignment="1">
      <alignment horizontal="center" vertical="top" wrapText="1"/>
    </xf>
    <xf numFmtId="0" fontId="5" fillId="0" borderId="56" xfId="0" applyFont="1" applyBorder="1" applyAlignment="1">
      <alignment horizontal="left" vertical="top" wrapText="1"/>
    </xf>
    <xf numFmtId="1" fontId="5" fillId="0" borderId="71" xfId="0" applyNumberFormat="1" applyFont="1" applyBorder="1" applyAlignment="1">
      <alignment horizontal="left" vertical="top" wrapText="1"/>
    </xf>
    <xf numFmtId="1" fontId="5" fillId="0" borderId="11" xfId="0" applyNumberFormat="1" applyFont="1" applyBorder="1" applyAlignment="1">
      <alignment vertical="top" wrapText="1"/>
    </xf>
    <xf numFmtId="0" fontId="5" fillId="0" borderId="15" xfId="0" applyFont="1" applyBorder="1" applyAlignment="1">
      <alignment horizontal="left" vertical="top" wrapText="1"/>
    </xf>
    <xf numFmtId="0" fontId="5" fillId="0" borderId="36" xfId="0" applyFont="1" applyBorder="1" applyAlignment="1">
      <alignment horizontal="left" vertical="top" wrapText="1"/>
    </xf>
    <xf numFmtId="0" fontId="5" fillId="0" borderId="16" xfId="0" applyFont="1" applyBorder="1" applyAlignment="1">
      <alignment horizontal="left" vertical="top" wrapText="1"/>
    </xf>
    <xf numFmtId="1" fontId="5" fillId="0" borderId="46" xfId="0" applyNumberFormat="1" applyFont="1" applyBorder="1" applyAlignment="1">
      <alignment vertical="top" wrapText="1"/>
    </xf>
    <xf numFmtId="2" fontId="5" fillId="5" borderId="64" xfId="0" applyNumberFormat="1" applyFont="1" applyFill="1" applyBorder="1" applyAlignment="1">
      <alignment horizontal="center" vertical="top"/>
    </xf>
    <xf numFmtId="1" fontId="5" fillId="2" borderId="14" xfId="0" applyNumberFormat="1" applyFont="1" applyFill="1" applyBorder="1" applyAlignment="1">
      <alignment horizontal="center" vertical="top" wrapText="1"/>
    </xf>
    <xf numFmtId="1" fontId="5" fillId="2" borderId="15" xfId="0" applyNumberFormat="1" applyFont="1" applyFill="1" applyBorder="1" applyAlignment="1">
      <alignment horizontal="center" vertical="top" wrapText="1"/>
    </xf>
    <xf numFmtId="2" fontId="5" fillId="2" borderId="13" xfId="0" applyNumberFormat="1" applyFont="1" applyFill="1" applyBorder="1" applyAlignment="1">
      <alignment horizontal="center" vertical="top"/>
    </xf>
    <xf numFmtId="1" fontId="5" fillId="2" borderId="7" xfId="0" applyNumberFormat="1" applyFont="1" applyFill="1" applyBorder="1" applyAlignment="1">
      <alignment horizontal="center" vertical="top"/>
    </xf>
    <xf numFmtId="2" fontId="5" fillId="2" borderId="39" xfId="0" applyNumberFormat="1" applyFont="1" applyFill="1" applyBorder="1" applyAlignment="1">
      <alignment horizontal="center" vertical="top"/>
    </xf>
    <xf numFmtId="2" fontId="5" fillId="2" borderId="4" xfId="0" applyNumberFormat="1" applyFont="1" applyFill="1" applyBorder="1" applyAlignment="1">
      <alignment horizontal="center" vertical="top"/>
    </xf>
    <xf numFmtId="1" fontId="5" fillId="2" borderId="45" xfId="0" applyNumberFormat="1" applyFont="1" applyFill="1" applyBorder="1" applyAlignment="1">
      <alignment horizontal="center" vertical="top"/>
    </xf>
    <xf numFmtId="1" fontId="5" fillId="2" borderId="13" xfId="0" applyNumberFormat="1" applyFont="1" applyFill="1" applyBorder="1" applyAlignment="1">
      <alignment horizontal="center" vertical="top"/>
    </xf>
    <xf numFmtId="0" fontId="5" fillId="0" borderId="53" xfId="0" applyFont="1" applyBorder="1" applyAlignment="1">
      <alignment horizontal="left" vertical="top" wrapText="1"/>
    </xf>
    <xf numFmtId="1" fontId="5" fillId="0" borderId="14" xfId="0" applyNumberFormat="1" applyFont="1" applyBorder="1" applyAlignment="1">
      <alignment horizontal="left" vertical="top" wrapText="1"/>
    </xf>
    <xf numFmtId="0" fontId="5" fillId="0" borderId="45" xfId="0" applyFont="1" applyBorder="1">
      <alignment vertical="top"/>
    </xf>
    <xf numFmtId="1" fontId="5" fillId="2" borderId="12" xfId="0" applyNumberFormat="1" applyFont="1" applyFill="1" applyBorder="1" applyAlignment="1">
      <alignment horizontal="center" vertical="top"/>
    </xf>
    <xf numFmtId="2" fontId="5" fillId="2" borderId="14" xfId="0" applyNumberFormat="1" applyFont="1" applyFill="1" applyBorder="1" applyAlignment="1">
      <alignment horizontal="center" vertical="top" wrapText="1"/>
    </xf>
    <xf numFmtId="2" fontId="5" fillId="2" borderId="15" xfId="0" applyNumberFormat="1" applyFont="1" applyFill="1" applyBorder="1" applyAlignment="1">
      <alignment horizontal="center" vertical="top" wrapText="1"/>
    </xf>
    <xf numFmtId="2" fontId="5" fillId="2" borderId="58" xfId="0" applyNumberFormat="1" applyFont="1" applyFill="1" applyBorder="1" applyAlignment="1">
      <alignment horizontal="center" vertical="top" wrapText="1"/>
    </xf>
    <xf numFmtId="0" fontId="5" fillId="0" borderId="13" xfId="0" applyFont="1" applyBorder="1" applyAlignment="1">
      <alignment horizontal="left" vertical="top" wrapText="1"/>
    </xf>
    <xf numFmtId="0" fontId="5" fillId="0" borderId="46" xfId="0" applyFont="1" applyBorder="1" applyAlignment="1">
      <alignment horizontal="left" vertical="top" wrapText="1"/>
    </xf>
    <xf numFmtId="0" fontId="5" fillId="0" borderId="23" xfId="0" applyFont="1" applyBorder="1" applyAlignment="1">
      <alignment vertical="top" wrapText="1"/>
    </xf>
    <xf numFmtId="0" fontId="5" fillId="0" borderId="68" xfId="0" applyFont="1" applyBorder="1" applyAlignment="1">
      <alignment horizontal="left" vertical="top" wrapText="1"/>
    </xf>
    <xf numFmtId="1" fontId="5" fillId="0" borderId="46" xfId="0" applyNumberFormat="1" applyFont="1" applyBorder="1" applyAlignment="1">
      <alignment horizontal="left" vertical="top" wrapText="1"/>
    </xf>
    <xf numFmtId="1" fontId="5" fillId="0" borderId="53" xfId="0" applyNumberFormat="1" applyFont="1" applyBorder="1" applyAlignment="1">
      <alignment vertical="top" wrapText="1"/>
    </xf>
    <xf numFmtId="49" fontId="5" fillId="0" borderId="12" xfId="0" applyNumberFormat="1" applyFont="1" applyBorder="1" applyAlignment="1">
      <alignment vertical="top" wrapText="1"/>
    </xf>
    <xf numFmtId="49" fontId="5" fillId="0" borderId="6" xfId="0" applyNumberFormat="1" applyFont="1" applyBorder="1" applyAlignment="1">
      <alignment vertical="top" wrapText="1"/>
    </xf>
    <xf numFmtId="49" fontId="5" fillId="0" borderId="6" xfId="0" applyNumberFormat="1" applyFont="1" applyBorder="1">
      <alignment vertical="top"/>
    </xf>
    <xf numFmtId="49" fontId="5" fillId="0" borderId="50" xfId="0" applyNumberFormat="1" applyFont="1" applyBorder="1" applyAlignment="1">
      <alignment vertical="top" wrapText="1"/>
    </xf>
    <xf numFmtId="49" fontId="5" fillId="0" borderId="18" xfId="0" applyNumberFormat="1" applyFont="1" applyBorder="1" applyAlignment="1">
      <alignment vertical="top" wrapText="1"/>
    </xf>
    <xf numFmtId="49" fontId="5" fillId="0" borderId="21" xfId="0" applyNumberFormat="1" applyFont="1" applyBorder="1" applyAlignment="1">
      <alignment vertical="top" wrapText="1"/>
    </xf>
    <xf numFmtId="49" fontId="5" fillId="0" borderId="42" xfId="0" applyNumberFormat="1" applyFont="1" applyBorder="1" applyAlignment="1">
      <alignment vertical="top" wrapText="1"/>
    </xf>
    <xf numFmtId="1" fontId="5" fillId="2" borderId="56" xfId="0" applyNumberFormat="1"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48" xfId="0" applyFont="1" applyFill="1" applyBorder="1" applyAlignment="1">
      <alignment horizontal="center" vertical="top" wrapText="1"/>
    </xf>
    <xf numFmtId="1" fontId="5" fillId="2" borderId="27" xfId="0" applyNumberFormat="1" applyFont="1" applyFill="1" applyBorder="1" applyAlignment="1">
      <alignment horizontal="center" vertical="top" wrapText="1"/>
    </xf>
    <xf numFmtId="1" fontId="5" fillId="2" borderId="40" xfId="0" applyNumberFormat="1" applyFont="1" applyFill="1" applyBorder="1" applyAlignment="1">
      <alignment horizontal="center" vertical="top" wrapText="1"/>
    </xf>
    <xf numFmtId="2" fontId="5" fillId="7" borderId="42" xfId="0" applyNumberFormat="1" applyFont="1" applyFill="1" applyBorder="1" applyAlignment="1">
      <alignment horizontal="center" vertical="top" wrapText="1"/>
    </xf>
    <xf numFmtId="2" fontId="5" fillId="7" borderId="5" xfId="0" applyNumberFormat="1" applyFont="1" applyFill="1" applyBorder="1" applyAlignment="1">
      <alignment horizontal="center" vertical="top" wrapText="1"/>
    </xf>
    <xf numFmtId="0" fontId="5" fillId="2" borderId="52" xfId="0" applyFont="1" applyFill="1" applyBorder="1" applyAlignment="1">
      <alignment horizontal="center" vertical="top" wrapText="1"/>
    </xf>
    <xf numFmtId="1" fontId="5" fillId="2" borderId="52" xfId="0" applyNumberFormat="1" applyFont="1" applyFill="1" applyBorder="1" applyAlignment="1">
      <alignment horizontal="center" vertical="top"/>
    </xf>
    <xf numFmtId="2" fontId="5" fillId="2" borderId="35" xfId="0" applyNumberFormat="1" applyFont="1" applyFill="1" applyBorder="1" applyAlignment="1">
      <alignment horizontal="center" vertical="top"/>
    </xf>
    <xf numFmtId="2" fontId="5" fillId="2" borderId="58" xfId="0" applyNumberFormat="1" applyFont="1" applyFill="1" applyBorder="1" applyAlignment="1">
      <alignment horizontal="center" vertical="top"/>
    </xf>
    <xf numFmtId="2" fontId="5" fillId="0" borderId="0" xfId="0" applyNumberFormat="1" applyFont="1" applyAlignment="1">
      <alignment horizontal="center" vertical="top"/>
    </xf>
    <xf numFmtId="1" fontId="5" fillId="2" borderId="0" xfId="0" applyNumberFormat="1" applyFont="1" applyFill="1" applyAlignment="1">
      <alignment horizontal="center" vertical="top"/>
    </xf>
    <xf numFmtId="2" fontId="5" fillId="2" borderId="0" xfId="0" applyNumberFormat="1" applyFont="1" applyFill="1" applyAlignment="1">
      <alignment horizontal="center" vertical="top"/>
    </xf>
    <xf numFmtId="0" fontId="5" fillId="0" borderId="45" xfId="0" applyFont="1" applyBorder="1" applyAlignment="1">
      <alignment horizontal="center" vertical="top" wrapText="1"/>
    </xf>
    <xf numFmtId="2" fontId="5" fillId="2" borderId="28" xfId="0" applyNumberFormat="1" applyFont="1" applyFill="1" applyBorder="1" applyAlignment="1">
      <alignment horizontal="center" vertical="top" wrapText="1"/>
    </xf>
    <xf numFmtId="2" fontId="5" fillId="2" borderId="27" xfId="0" applyNumberFormat="1" applyFont="1" applyFill="1" applyBorder="1" applyAlignment="1">
      <alignment horizontal="center" vertical="top" wrapText="1"/>
    </xf>
    <xf numFmtId="2" fontId="5" fillId="2" borderId="40" xfId="0" applyNumberFormat="1" applyFont="1" applyFill="1" applyBorder="1" applyAlignment="1">
      <alignment horizontal="center" vertical="top" wrapText="1"/>
    </xf>
    <xf numFmtId="0" fontId="5" fillId="2" borderId="6" xfId="0" applyFont="1" applyFill="1" applyBorder="1" applyAlignment="1">
      <alignment horizontal="center" vertical="top" wrapText="1"/>
    </xf>
    <xf numFmtId="1" fontId="5" fillId="2" borderId="2" xfId="0" applyNumberFormat="1" applyFont="1" applyFill="1" applyBorder="1" applyAlignment="1">
      <alignment horizontal="center" vertical="top"/>
    </xf>
    <xf numFmtId="1" fontId="5" fillId="2" borderId="48" xfId="0" applyNumberFormat="1" applyFont="1" applyFill="1" applyBorder="1" applyAlignment="1">
      <alignment horizontal="center" vertical="top"/>
    </xf>
    <xf numFmtId="2" fontId="5" fillId="13" borderId="34" xfId="0" applyNumberFormat="1" applyFont="1" applyFill="1" applyBorder="1" applyAlignment="1">
      <alignment horizontal="center" vertical="top"/>
    </xf>
    <xf numFmtId="1" fontId="5" fillId="2" borderId="14" xfId="0" applyNumberFormat="1" applyFont="1" applyFill="1" applyBorder="1" applyAlignment="1">
      <alignment horizontal="center" vertical="top"/>
    </xf>
    <xf numFmtId="2" fontId="26" fillId="0" borderId="34" xfId="0" applyNumberFormat="1" applyFont="1" applyBorder="1" applyAlignment="1">
      <alignment vertical="top" wrapText="1"/>
    </xf>
    <xf numFmtId="2" fontId="26" fillId="0" borderId="41" xfId="0" applyNumberFormat="1" applyFont="1" applyBorder="1" applyAlignment="1">
      <alignment vertical="top" wrapText="1"/>
    </xf>
    <xf numFmtId="2" fontId="26" fillId="0" borderId="12" xfId="0" applyNumberFormat="1" applyFont="1" applyBorder="1" applyAlignment="1">
      <alignment vertical="top" wrapText="1"/>
    </xf>
    <xf numFmtId="2" fontId="26" fillId="0" borderId="6" xfId="0" applyNumberFormat="1" applyFont="1" applyBorder="1" applyAlignment="1">
      <alignment vertical="top" wrapText="1"/>
    </xf>
    <xf numFmtId="2" fontId="26" fillId="0" borderId="50" xfId="0" applyNumberFormat="1" applyFont="1" applyBorder="1" applyAlignment="1">
      <alignment vertical="top" wrapText="1"/>
    </xf>
    <xf numFmtId="2" fontId="26" fillId="0" borderId="71" xfId="0" applyNumberFormat="1" applyFont="1" applyBorder="1" applyAlignment="1">
      <alignment vertical="top" wrapText="1"/>
    </xf>
    <xf numFmtId="2" fontId="26" fillId="0" borderId="17" xfId="0" applyNumberFormat="1" applyFont="1" applyBorder="1" applyAlignment="1">
      <alignment vertical="top" wrapText="1"/>
    </xf>
    <xf numFmtId="0" fontId="26" fillId="0" borderId="41" xfId="0" applyFont="1" applyBorder="1" applyAlignment="1">
      <alignment vertical="top" wrapText="1"/>
    </xf>
    <xf numFmtId="0" fontId="26" fillId="0" borderId="6" xfId="0" applyFont="1" applyBorder="1" applyAlignment="1">
      <alignment vertical="top" wrapText="1"/>
    </xf>
    <xf numFmtId="0" fontId="26" fillId="0" borderId="50" xfId="0" applyFont="1" applyBorder="1" applyAlignment="1">
      <alignment vertical="top" wrapText="1"/>
    </xf>
    <xf numFmtId="1" fontId="26" fillId="0" borderId="41" xfId="0" applyNumberFormat="1" applyFont="1" applyBorder="1" applyAlignment="1">
      <alignment vertical="top" wrapText="1"/>
    </xf>
    <xf numFmtId="1" fontId="26" fillId="0" borderId="12" xfId="0" applyNumberFormat="1" applyFont="1" applyBorder="1" applyAlignment="1">
      <alignment vertical="top" wrapText="1"/>
    </xf>
    <xf numFmtId="1" fontId="26" fillId="0" borderId="6" xfId="0" applyNumberFormat="1" applyFont="1" applyBorder="1" applyAlignment="1">
      <alignment vertical="top" wrapText="1"/>
    </xf>
    <xf numFmtId="1" fontId="26" fillId="0" borderId="41" xfId="0" applyNumberFormat="1" applyFont="1" applyBorder="1" applyAlignment="1">
      <alignment horizontal="left" vertical="top" wrapText="1"/>
    </xf>
    <xf numFmtId="0" fontId="26" fillId="0" borderId="71" xfId="0" applyFont="1" applyBorder="1" applyAlignment="1">
      <alignment vertical="top" wrapText="1"/>
    </xf>
    <xf numFmtId="0" fontId="26" fillId="0" borderId="17" xfId="0" applyFont="1" applyBorder="1" applyAlignment="1">
      <alignment vertical="top" wrapText="1"/>
    </xf>
    <xf numFmtId="2" fontId="26" fillId="0" borderId="11" xfId="0" applyNumberFormat="1" applyFont="1" applyBorder="1" applyAlignment="1">
      <alignment vertical="top" wrapText="1"/>
    </xf>
    <xf numFmtId="1" fontId="26" fillId="0" borderId="14" xfId="0" applyNumberFormat="1" applyFont="1" applyBorder="1" applyAlignment="1">
      <alignment horizontal="left" vertical="top" wrapText="1"/>
    </xf>
    <xf numFmtId="1" fontId="26" fillId="0" borderId="17" xfId="0" applyNumberFormat="1" applyFont="1" applyBorder="1" applyAlignment="1">
      <alignment vertical="top" wrapText="1"/>
    </xf>
    <xf numFmtId="1" fontId="26" fillId="0" borderId="50" xfId="0" applyNumberFormat="1" applyFont="1" applyBorder="1" applyAlignment="1">
      <alignment vertical="top" wrapText="1"/>
    </xf>
    <xf numFmtId="2" fontId="26" fillId="0" borderId="53" xfId="0" applyNumberFormat="1" applyFont="1" applyBorder="1" applyAlignment="1">
      <alignment vertical="top" wrapText="1"/>
    </xf>
    <xf numFmtId="2" fontId="26" fillId="0" borderId="56" xfId="0" applyNumberFormat="1" applyFont="1" applyBorder="1" applyAlignment="1">
      <alignment vertical="top" wrapText="1"/>
    </xf>
    <xf numFmtId="1" fontId="26" fillId="0" borderId="52" xfId="0" applyNumberFormat="1" applyFont="1" applyBorder="1" applyAlignment="1">
      <alignment horizontal="center" vertical="top" wrapText="1"/>
    </xf>
    <xf numFmtId="2" fontId="26" fillId="5" borderId="34" xfId="0" applyNumberFormat="1" applyFont="1" applyFill="1" applyBorder="1" applyAlignment="1">
      <alignment horizontal="center" vertical="top"/>
    </xf>
    <xf numFmtId="2" fontId="26" fillId="2" borderId="8" xfId="0" applyNumberFormat="1" applyFont="1" applyFill="1" applyBorder="1" applyAlignment="1">
      <alignment horizontal="center" vertical="top"/>
    </xf>
    <xf numFmtId="2" fontId="26" fillId="2" borderId="2" xfId="0" applyNumberFormat="1" applyFont="1" applyFill="1" applyBorder="1" applyAlignment="1">
      <alignment horizontal="center" vertical="top"/>
    </xf>
    <xf numFmtId="2" fontId="26" fillId="2" borderId="48" xfId="0" applyNumberFormat="1" applyFont="1" applyFill="1" applyBorder="1" applyAlignment="1">
      <alignment horizontal="center" vertical="top"/>
    </xf>
    <xf numFmtId="1" fontId="26" fillId="2" borderId="4" xfId="0" applyNumberFormat="1" applyFont="1" applyFill="1" applyBorder="1" applyAlignment="1">
      <alignment horizontal="center" vertical="top" wrapText="1"/>
    </xf>
    <xf numFmtId="2" fontId="26" fillId="5" borderId="22" xfId="0" applyNumberFormat="1" applyFont="1" applyFill="1" applyBorder="1" applyAlignment="1">
      <alignment horizontal="center" vertical="top" wrapText="1"/>
    </xf>
    <xf numFmtId="1" fontId="26" fillId="2" borderId="3" xfId="0" applyNumberFormat="1" applyFont="1" applyFill="1" applyBorder="1" applyAlignment="1">
      <alignment horizontal="center" vertical="top" wrapText="1"/>
    </xf>
    <xf numFmtId="2" fontId="26" fillId="2" borderId="9" xfId="0" applyNumberFormat="1" applyFont="1" applyFill="1" applyBorder="1" applyAlignment="1">
      <alignment horizontal="center" vertical="top"/>
    </xf>
    <xf numFmtId="1" fontId="26" fillId="2" borderId="35" xfId="0" applyNumberFormat="1" applyFont="1" applyFill="1" applyBorder="1" applyAlignment="1">
      <alignment horizontal="center" vertical="top"/>
    </xf>
    <xf numFmtId="1" fontId="26" fillId="2" borderId="8" xfId="0" applyNumberFormat="1" applyFont="1" applyFill="1" applyBorder="1" applyAlignment="1">
      <alignment horizontal="center" vertical="top"/>
    </xf>
    <xf numFmtId="2" fontId="26" fillId="5" borderId="22" xfId="0" applyNumberFormat="1" applyFont="1" applyFill="1" applyBorder="1" applyAlignment="1">
      <alignment horizontal="center" vertical="top"/>
    </xf>
    <xf numFmtId="2" fontId="26" fillId="16" borderId="34" xfId="0" applyNumberFormat="1" applyFont="1" applyFill="1" applyBorder="1" applyAlignment="1">
      <alignment horizontal="center" vertical="top"/>
    </xf>
    <xf numFmtId="2" fontId="26" fillId="2" borderId="27" xfId="0" applyNumberFormat="1" applyFont="1" applyFill="1" applyBorder="1" applyAlignment="1">
      <alignment horizontal="center" vertical="top"/>
    </xf>
    <xf numFmtId="2" fontId="26" fillId="2" borderId="40" xfId="0" applyNumberFormat="1" applyFont="1" applyFill="1" applyBorder="1" applyAlignment="1">
      <alignment horizontal="center" vertical="top"/>
    </xf>
    <xf numFmtId="1" fontId="26" fillId="2" borderId="50" xfId="0" applyNumberFormat="1" applyFont="1" applyFill="1" applyBorder="1" applyAlignment="1">
      <alignment horizontal="center" vertical="top" wrapText="1"/>
    </xf>
    <xf numFmtId="2" fontId="26" fillId="2" borderId="47" xfId="0" applyNumberFormat="1" applyFont="1" applyFill="1" applyBorder="1" applyAlignment="1">
      <alignment horizontal="center" vertical="top" wrapText="1"/>
    </xf>
    <xf numFmtId="2" fontId="26" fillId="2" borderId="48" xfId="0" applyNumberFormat="1" applyFont="1" applyFill="1" applyBorder="1" applyAlignment="1">
      <alignment horizontal="center" vertical="top" wrapText="1"/>
    </xf>
    <xf numFmtId="1" fontId="26" fillId="2" borderId="12" xfId="0" applyNumberFormat="1" applyFont="1" applyFill="1" applyBorder="1" applyAlignment="1">
      <alignment horizontal="center" vertical="top" wrapText="1"/>
    </xf>
    <xf numFmtId="2" fontId="26" fillId="2" borderId="9" xfId="0" applyNumberFormat="1" applyFont="1" applyFill="1" applyBorder="1" applyAlignment="1">
      <alignment horizontal="center" vertical="top" wrapText="1"/>
    </xf>
    <xf numFmtId="2" fontId="26" fillId="5" borderId="34" xfId="0" applyNumberFormat="1" applyFont="1" applyFill="1" applyBorder="1" applyAlignment="1">
      <alignment horizontal="center" vertical="top" wrapText="1"/>
    </xf>
    <xf numFmtId="1" fontId="26" fillId="2" borderId="66" xfId="0" applyNumberFormat="1" applyFont="1" applyFill="1" applyBorder="1" applyAlignment="1">
      <alignment horizontal="center" vertical="top" wrapText="1"/>
    </xf>
    <xf numFmtId="1" fontId="26" fillId="2" borderId="13" xfId="0" applyNumberFormat="1" applyFont="1" applyFill="1" applyBorder="1" applyAlignment="1">
      <alignment horizontal="center" vertical="top"/>
    </xf>
    <xf numFmtId="1" fontId="26" fillId="2" borderId="44" xfId="0" applyNumberFormat="1" applyFont="1" applyFill="1" applyBorder="1" applyAlignment="1">
      <alignment horizontal="center" vertical="top" wrapText="1"/>
    </xf>
    <xf numFmtId="2" fontId="26" fillId="7" borderId="34" xfId="0" applyNumberFormat="1" applyFont="1" applyFill="1" applyBorder="1" applyAlignment="1">
      <alignment horizontal="center" vertical="top"/>
    </xf>
    <xf numFmtId="1" fontId="26" fillId="0" borderId="0" xfId="0" applyNumberFormat="1" applyFont="1" applyAlignment="1">
      <alignment horizontal="center" vertical="top"/>
    </xf>
    <xf numFmtId="2" fontId="26" fillId="0" borderId="0" xfId="0" applyNumberFormat="1" applyFont="1" applyAlignment="1">
      <alignment horizontal="center" vertical="top"/>
    </xf>
    <xf numFmtId="1" fontId="23" fillId="0" borderId="13" xfId="0" applyNumberFormat="1" applyFont="1" applyBorder="1" applyAlignment="1">
      <alignment vertical="top" wrapText="1"/>
    </xf>
    <xf numFmtId="1" fontId="23" fillId="0" borderId="41" xfId="0" applyNumberFormat="1" applyFont="1" applyBorder="1" applyAlignment="1">
      <alignment vertical="top" wrapText="1"/>
    </xf>
    <xf numFmtId="1" fontId="23" fillId="0" borderId="11" xfId="0" applyNumberFormat="1" applyFont="1" applyBorder="1" applyAlignment="1">
      <alignment vertical="top" wrapText="1"/>
    </xf>
    <xf numFmtId="1" fontId="23" fillId="0" borderId="17" xfId="0" applyNumberFormat="1" applyFont="1" applyBorder="1" applyAlignment="1">
      <alignment vertical="top" wrapText="1"/>
    </xf>
    <xf numFmtId="1" fontId="23" fillId="0" borderId="50" xfId="0" applyNumberFormat="1" applyFont="1" applyBorder="1" applyAlignment="1">
      <alignment vertical="top" wrapText="1"/>
    </xf>
    <xf numFmtId="0" fontId="23" fillId="0" borderId="41" xfId="0" applyFont="1" applyBorder="1" applyAlignment="1">
      <alignment vertical="top" wrapText="1"/>
    </xf>
    <xf numFmtId="0" fontId="23" fillId="0" borderId="12" xfId="0" applyFont="1" applyBorder="1" applyAlignment="1">
      <alignment vertical="top" wrapText="1"/>
    </xf>
    <xf numFmtId="0" fontId="23" fillId="0" borderId="6" xfId="0" applyFont="1" applyBorder="1" applyAlignment="1">
      <alignment vertical="top" wrapText="1"/>
    </xf>
    <xf numFmtId="0" fontId="23" fillId="0" borderId="50" xfId="0" applyFont="1" applyBorder="1" applyAlignment="1">
      <alignment vertical="top" wrapText="1"/>
    </xf>
    <xf numFmtId="0" fontId="23" fillId="0" borderId="71" xfId="0" applyFont="1" applyBorder="1" applyAlignment="1">
      <alignment vertical="top" wrapText="1"/>
    </xf>
    <xf numFmtId="0" fontId="23" fillId="0" borderId="17" xfId="0" applyFont="1" applyBorder="1" applyAlignment="1">
      <alignment vertical="top" wrapText="1"/>
    </xf>
    <xf numFmtId="0" fontId="23" fillId="0" borderId="53" xfId="0" applyFont="1" applyBorder="1" applyAlignment="1">
      <alignment vertical="top" wrapText="1"/>
    </xf>
    <xf numFmtId="0" fontId="23" fillId="0" borderId="56" xfId="0" applyFont="1" applyBorder="1" applyAlignment="1">
      <alignment vertical="top" wrapText="1"/>
    </xf>
    <xf numFmtId="0" fontId="23" fillId="0" borderId="14" xfId="0" applyFont="1" applyBorder="1" applyAlignment="1">
      <alignment vertical="top" wrapText="1"/>
    </xf>
    <xf numFmtId="0" fontId="23" fillId="0" borderId="16" xfId="0" applyFont="1" applyBorder="1" applyAlignment="1">
      <alignment vertical="top" wrapText="1"/>
    </xf>
    <xf numFmtId="1" fontId="23" fillId="0" borderId="46" xfId="0" applyNumberFormat="1" applyFont="1" applyBorder="1" applyAlignment="1">
      <alignment vertical="top" wrapText="1"/>
    </xf>
    <xf numFmtId="1" fontId="23" fillId="2" borderId="39" xfId="0" applyNumberFormat="1" applyFont="1" applyFill="1" applyBorder="1" applyAlignment="1">
      <alignment horizontal="center" vertical="top" wrapText="1"/>
    </xf>
    <xf numFmtId="1" fontId="23" fillId="2" borderId="49" xfId="0" applyNumberFormat="1" applyFont="1" applyFill="1" applyBorder="1" applyAlignment="1">
      <alignment horizontal="center" vertical="top" wrapText="1"/>
    </xf>
    <xf numFmtId="1" fontId="23" fillId="2" borderId="1" xfId="0" applyNumberFormat="1" applyFont="1" applyFill="1" applyBorder="1" applyAlignment="1">
      <alignment horizontal="center" vertical="top" wrapText="1"/>
    </xf>
    <xf numFmtId="1" fontId="23" fillId="2" borderId="2" xfId="0" applyNumberFormat="1" applyFont="1" applyFill="1" applyBorder="1" applyAlignment="1">
      <alignment horizontal="center" vertical="top" wrapText="1"/>
    </xf>
    <xf numFmtId="1" fontId="23" fillId="2" borderId="47" xfId="0" applyNumberFormat="1" applyFont="1" applyFill="1" applyBorder="1" applyAlignment="1">
      <alignment horizontal="center" vertical="top" wrapText="1"/>
    </xf>
    <xf numFmtId="1" fontId="23" fillId="2" borderId="48" xfId="0" applyNumberFormat="1" applyFont="1" applyFill="1" applyBorder="1" applyAlignment="1">
      <alignment horizontal="center" vertical="top" wrapText="1"/>
    </xf>
    <xf numFmtId="1" fontId="23" fillId="2" borderId="7" xfId="0" applyNumberFormat="1" applyFont="1" applyFill="1" applyBorder="1" applyAlignment="1">
      <alignment horizontal="center" vertical="top" wrapText="1"/>
    </xf>
    <xf numFmtId="1" fontId="23" fillId="2" borderId="13" xfId="0" applyNumberFormat="1" applyFont="1" applyFill="1" applyBorder="1" applyAlignment="1">
      <alignment horizontal="center" vertical="top" wrapText="1"/>
    </xf>
    <xf numFmtId="1" fontId="23" fillId="2" borderId="4" xfId="0" applyNumberFormat="1" applyFont="1" applyFill="1" applyBorder="1" applyAlignment="1">
      <alignment horizontal="center" vertical="top" wrapText="1"/>
    </xf>
    <xf numFmtId="1" fontId="23" fillId="2" borderId="8" xfId="0" applyNumberFormat="1" applyFont="1" applyFill="1" applyBorder="1" applyAlignment="1">
      <alignment horizontal="center" vertical="top" wrapText="1"/>
    </xf>
    <xf numFmtId="1" fontId="23" fillId="2" borderId="3" xfId="0" applyNumberFormat="1" applyFont="1" applyFill="1" applyBorder="1" applyAlignment="1">
      <alignment horizontal="center" vertical="top" wrapText="1"/>
    </xf>
    <xf numFmtId="1" fontId="23" fillId="2" borderId="35" xfId="0" applyNumberFormat="1" applyFont="1" applyFill="1" applyBorder="1" applyAlignment="1">
      <alignment horizontal="center" vertical="top" wrapText="1"/>
    </xf>
    <xf numFmtId="1" fontId="23" fillId="2" borderId="66" xfId="0" applyNumberFormat="1" applyFont="1" applyFill="1" applyBorder="1" applyAlignment="1">
      <alignment horizontal="center" vertical="top" wrapText="1"/>
    </xf>
    <xf numFmtId="1" fontId="23" fillId="2" borderId="12" xfId="0" applyNumberFormat="1" applyFont="1" applyFill="1" applyBorder="1" applyAlignment="1">
      <alignment horizontal="center" vertical="top" wrapText="1"/>
    </xf>
    <xf numFmtId="1" fontId="23" fillId="2" borderId="44" xfId="0" applyNumberFormat="1" applyFont="1" applyFill="1" applyBorder="1" applyAlignment="1">
      <alignment horizontal="center" vertical="top"/>
    </xf>
    <xf numFmtId="2" fontId="23" fillId="2" borderId="8" xfId="0" applyNumberFormat="1" applyFont="1" applyFill="1" applyBorder="1" applyAlignment="1">
      <alignment horizontal="center" vertical="top" wrapText="1"/>
    </xf>
    <xf numFmtId="2" fontId="23" fillId="2" borderId="2" xfId="0" applyNumberFormat="1" applyFont="1" applyFill="1" applyBorder="1" applyAlignment="1">
      <alignment horizontal="center" vertical="top" wrapText="1"/>
    </xf>
    <xf numFmtId="1" fontId="23" fillId="2" borderId="44" xfId="0" applyNumberFormat="1" applyFont="1" applyFill="1" applyBorder="1" applyAlignment="1">
      <alignment horizontal="center" vertical="top" wrapText="1"/>
    </xf>
    <xf numFmtId="1" fontId="23" fillId="2" borderId="50" xfId="0" applyNumberFormat="1" applyFont="1" applyFill="1" applyBorder="1" applyAlignment="1">
      <alignment horizontal="center" vertical="top" wrapText="1"/>
    </xf>
    <xf numFmtId="2" fontId="23" fillId="5" borderId="22" xfId="0" applyNumberFormat="1" applyFont="1" applyFill="1" applyBorder="1" applyAlignment="1">
      <alignment horizontal="center" vertical="top" wrapText="1"/>
    </xf>
    <xf numFmtId="1" fontId="23" fillId="2" borderId="6" xfId="0" applyNumberFormat="1" applyFont="1" applyFill="1" applyBorder="1" applyAlignment="1">
      <alignment horizontal="center" vertical="top" wrapText="1"/>
    </xf>
    <xf numFmtId="2" fontId="23" fillId="2" borderId="0" xfId="0" applyNumberFormat="1" applyFont="1" applyFill="1" applyAlignment="1">
      <alignment horizontal="center" vertical="top" wrapText="1"/>
    </xf>
    <xf numFmtId="1" fontId="23" fillId="2" borderId="17" xfId="0" applyNumberFormat="1" applyFont="1" applyFill="1" applyBorder="1" applyAlignment="1">
      <alignment horizontal="center" vertical="top" wrapText="1"/>
    </xf>
    <xf numFmtId="2" fontId="23" fillId="2" borderId="9" xfId="0" applyNumberFormat="1" applyFont="1" applyFill="1" applyBorder="1" applyAlignment="1">
      <alignment horizontal="center" vertical="top" wrapText="1"/>
    </xf>
    <xf numFmtId="2" fontId="23" fillId="5" borderId="34" xfId="0" applyNumberFormat="1" applyFont="1" applyFill="1" applyBorder="1" applyAlignment="1">
      <alignment horizontal="center" vertical="top" wrapText="1"/>
    </xf>
    <xf numFmtId="2" fontId="23" fillId="2" borderId="39" xfId="0" applyNumberFormat="1" applyFont="1" applyFill="1" applyBorder="1" applyAlignment="1">
      <alignment horizontal="center" vertical="top" wrapText="1"/>
    </xf>
    <xf numFmtId="2" fontId="23" fillId="2" borderId="35" xfId="0" applyNumberFormat="1" applyFont="1" applyFill="1" applyBorder="1" applyAlignment="1">
      <alignment horizontal="center" vertical="top" wrapText="1"/>
    </xf>
    <xf numFmtId="1" fontId="23" fillId="2" borderId="51" xfId="0" applyNumberFormat="1" applyFont="1" applyFill="1" applyBorder="1" applyAlignment="1">
      <alignment horizontal="center" vertical="top" wrapText="1"/>
    </xf>
    <xf numFmtId="1" fontId="23" fillId="0" borderId="0" xfId="0" applyNumberFormat="1" applyFont="1" applyAlignment="1">
      <alignment horizontal="center" vertical="top" wrapText="1"/>
    </xf>
    <xf numFmtId="2" fontId="23" fillId="0" borderId="0" xfId="0" applyNumberFormat="1" applyFont="1" applyAlignment="1">
      <alignment horizontal="center" vertical="top" wrapText="1"/>
    </xf>
    <xf numFmtId="2" fontId="26" fillId="5" borderId="5" xfId="0" applyNumberFormat="1" applyFont="1" applyFill="1" applyBorder="1" applyAlignment="1">
      <alignment horizontal="center" vertical="top" wrapText="1"/>
    </xf>
    <xf numFmtId="2" fontId="26" fillId="7" borderId="5" xfId="0" applyNumberFormat="1" applyFont="1" applyFill="1" applyBorder="1" applyAlignment="1">
      <alignment horizontal="center" vertical="top" wrapText="1"/>
    </xf>
    <xf numFmtId="2" fontId="26" fillId="2" borderId="1" xfId="0" applyNumberFormat="1" applyFont="1" applyFill="1" applyBorder="1" applyAlignment="1">
      <alignment horizontal="center" vertical="top" wrapText="1"/>
    </xf>
    <xf numFmtId="2" fontId="26" fillId="2" borderId="15" xfId="0" applyNumberFormat="1" applyFont="1" applyFill="1" applyBorder="1" applyAlignment="1">
      <alignment horizontal="center" vertical="top" wrapText="1"/>
    </xf>
    <xf numFmtId="2" fontId="26" fillId="2" borderId="36" xfId="0" applyNumberFormat="1" applyFont="1" applyFill="1" applyBorder="1" applyAlignment="1">
      <alignment horizontal="center" vertical="top" wrapText="1"/>
    </xf>
    <xf numFmtId="2" fontId="26" fillId="2" borderId="8" xfId="0" applyNumberFormat="1" applyFont="1" applyFill="1" applyBorder="1" applyAlignment="1">
      <alignment horizontal="center" vertical="top" wrapText="1"/>
    </xf>
    <xf numFmtId="2" fontId="26" fillId="2" borderId="2" xfId="0" applyNumberFormat="1" applyFont="1" applyFill="1" applyBorder="1" applyAlignment="1">
      <alignment horizontal="center" vertical="top" wrapText="1"/>
    </xf>
    <xf numFmtId="2" fontId="26" fillId="2" borderId="14" xfId="0" applyNumberFormat="1" applyFont="1" applyFill="1" applyBorder="1" applyAlignment="1">
      <alignment horizontal="center" vertical="top" wrapText="1"/>
    </xf>
    <xf numFmtId="2" fontId="26" fillId="2" borderId="16" xfId="0" applyNumberFormat="1" applyFont="1" applyFill="1" applyBorder="1" applyAlignment="1">
      <alignment horizontal="center" vertical="top" wrapText="1"/>
    </xf>
    <xf numFmtId="2" fontId="26" fillId="2" borderId="0" xfId="0" applyNumberFormat="1" applyFont="1" applyFill="1" applyAlignment="1">
      <alignment horizontal="center" vertical="top" wrapText="1"/>
    </xf>
    <xf numFmtId="2" fontId="26" fillId="2" borderId="28" xfId="0" applyNumberFormat="1" applyFont="1" applyFill="1" applyBorder="1" applyAlignment="1">
      <alignment horizontal="center" vertical="top" wrapText="1"/>
    </xf>
    <xf numFmtId="2" fontId="26" fillId="2" borderId="27" xfId="0" applyNumberFormat="1" applyFont="1" applyFill="1" applyBorder="1" applyAlignment="1">
      <alignment horizontal="center" vertical="top" wrapText="1"/>
    </xf>
    <xf numFmtId="2" fontId="26" fillId="7" borderId="34" xfId="0" applyNumberFormat="1" applyFont="1" applyFill="1" applyBorder="1" applyAlignment="1">
      <alignment horizontal="center" vertical="top" wrapText="1"/>
    </xf>
    <xf numFmtId="2" fontId="26" fillId="0" borderId="0" xfId="0" applyNumberFormat="1" applyFont="1" applyAlignment="1">
      <alignment horizontal="center" vertical="top" wrapText="1"/>
    </xf>
    <xf numFmtId="49" fontId="26" fillId="0" borderId="22" xfId="0" applyNumberFormat="1" applyFont="1" applyBorder="1" applyAlignment="1">
      <alignment vertical="top" wrapText="1"/>
    </xf>
    <xf numFmtId="0" fontId="26" fillId="0" borderId="53" xfId="0" applyFont="1" applyBorder="1" applyAlignment="1">
      <alignment vertical="top" wrapText="1"/>
    </xf>
    <xf numFmtId="0" fontId="26" fillId="0" borderId="14" xfId="0" applyFont="1" applyBorder="1" applyAlignment="1">
      <alignment vertical="top" wrapText="1"/>
    </xf>
    <xf numFmtId="0" fontId="26" fillId="0" borderId="16" xfId="0" applyFont="1" applyBorder="1" applyAlignment="1">
      <alignment vertical="top" wrapText="1"/>
    </xf>
    <xf numFmtId="0" fontId="26" fillId="0" borderId="56" xfId="0" applyFont="1" applyBorder="1">
      <alignment vertical="top"/>
    </xf>
    <xf numFmtId="0" fontId="25" fillId="0" borderId="0" xfId="0" applyFont="1" applyAlignment="1">
      <alignment horizontal="center" vertical="top"/>
    </xf>
    <xf numFmtId="0" fontId="26" fillId="0" borderId="0" xfId="0" applyFont="1" applyAlignment="1">
      <alignment horizontal="center" vertical="top"/>
    </xf>
    <xf numFmtId="1" fontId="26" fillId="2" borderId="52" xfId="0" applyNumberFormat="1" applyFont="1" applyFill="1" applyBorder="1" applyAlignment="1">
      <alignment horizontal="center" vertical="top" wrapText="1"/>
    </xf>
    <xf numFmtId="2" fontId="26" fillId="2" borderId="51" xfId="0" applyNumberFormat="1" applyFont="1" applyFill="1" applyBorder="1" applyAlignment="1">
      <alignment horizontal="center" vertical="top" wrapText="1"/>
    </xf>
    <xf numFmtId="2" fontId="26" fillId="2" borderId="57" xfId="0" applyNumberFormat="1" applyFont="1" applyFill="1" applyBorder="1" applyAlignment="1">
      <alignment horizontal="center" vertical="top" wrapText="1"/>
    </xf>
    <xf numFmtId="2" fontId="26" fillId="2" borderId="35" xfId="0" applyNumberFormat="1" applyFont="1" applyFill="1" applyBorder="1" applyAlignment="1">
      <alignment horizontal="center" vertical="top" wrapText="1"/>
    </xf>
    <xf numFmtId="1" fontId="26" fillId="2" borderId="6" xfId="0" applyNumberFormat="1" applyFont="1" applyFill="1" applyBorder="1" applyAlignment="1">
      <alignment horizontal="center" vertical="top" wrapText="1"/>
    </xf>
    <xf numFmtId="1" fontId="26" fillId="2" borderId="17" xfId="0" applyNumberFormat="1" applyFont="1" applyFill="1" applyBorder="1" applyAlignment="1">
      <alignment horizontal="center" vertical="top" wrapText="1"/>
    </xf>
    <xf numFmtId="0" fontId="26" fillId="2" borderId="44" xfId="0" applyFont="1" applyFill="1" applyBorder="1" applyAlignment="1">
      <alignment horizontal="center" vertical="top" wrapText="1"/>
    </xf>
    <xf numFmtId="2" fontId="26" fillId="2" borderId="13" xfId="0" applyNumberFormat="1" applyFont="1" applyFill="1" applyBorder="1" applyAlignment="1">
      <alignment horizontal="center" vertical="top" wrapText="1"/>
    </xf>
    <xf numFmtId="0" fontId="26" fillId="2" borderId="13" xfId="0" applyFont="1" applyFill="1" applyBorder="1" applyAlignment="1">
      <alignment horizontal="center" vertical="top" wrapText="1"/>
    </xf>
    <xf numFmtId="0" fontId="26" fillId="2" borderId="9" xfId="0" applyFont="1" applyFill="1" applyBorder="1" applyAlignment="1">
      <alignment horizontal="center" vertical="top" wrapText="1"/>
    </xf>
    <xf numFmtId="2" fontId="26" fillId="5" borderId="64" xfId="0" applyNumberFormat="1" applyFont="1" applyFill="1" applyBorder="1" applyAlignment="1">
      <alignment horizontal="center" vertical="top" wrapText="1"/>
    </xf>
    <xf numFmtId="0" fontId="26" fillId="2" borderId="52" xfId="0" applyFont="1" applyFill="1" applyBorder="1" applyAlignment="1">
      <alignment horizontal="center" vertical="top" wrapText="1"/>
    </xf>
    <xf numFmtId="0" fontId="26" fillId="2" borderId="58" xfId="0" applyFont="1" applyFill="1" applyBorder="1" applyAlignment="1">
      <alignment horizontal="center" vertical="top" wrapText="1"/>
    </xf>
    <xf numFmtId="2" fontId="5" fillId="7" borderId="64" xfId="0" applyNumberFormat="1" applyFont="1" applyFill="1" applyBorder="1" applyAlignment="1">
      <alignment horizontal="center" vertical="top" wrapText="1"/>
    </xf>
    <xf numFmtId="0" fontId="5" fillId="0" borderId="65" xfId="0" applyFont="1" applyBorder="1" applyAlignment="1">
      <alignment vertical="top" wrapText="1"/>
    </xf>
    <xf numFmtId="0" fontId="5" fillId="2" borderId="57" xfId="0" applyFont="1" applyFill="1" applyBorder="1" applyAlignment="1">
      <alignment horizontal="center" vertical="top" wrapText="1"/>
    </xf>
    <xf numFmtId="0" fontId="5" fillId="2" borderId="49" xfId="0" applyFont="1" applyFill="1" applyBorder="1" applyAlignment="1">
      <alignment horizontal="center" vertical="top" wrapText="1"/>
    </xf>
    <xf numFmtId="2" fontId="5" fillId="7" borderId="68" xfId="0" applyNumberFormat="1" applyFont="1" applyFill="1" applyBorder="1" applyAlignment="1">
      <alignment horizontal="center" vertical="top" wrapText="1"/>
    </xf>
    <xf numFmtId="2" fontId="5" fillId="8" borderId="5" xfId="0" applyNumberFormat="1" applyFont="1" applyFill="1" applyBorder="1" applyAlignment="1">
      <alignment horizontal="center" vertical="top" wrapText="1"/>
    </xf>
    <xf numFmtId="2" fontId="5" fillId="8" borderId="46" xfId="0" applyNumberFormat="1" applyFont="1" applyFill="1" applyBorder="1" applyAlignment="1">
      <alignment horizontal="center" vertical="top" wrapText="1"/>
    </xf>
    <xf numFmtId="2" fontId="5" fillId="8" borderId="42" xfId="0" applyNumberFormat="1" applyFont="1" applyFill="1" applyBorder="1" applyAlignment="1">
      <alignment horizontal="center" vertical="top" wrapText="1"/>
    </xf>
    <xf numFmtId="2" fontId="5" fillId="2" borderId="62" xfId="0" applyNumberFormat="1" applyFont="1" applyFill="1" applyBorder="1" applyAlignment="1">
      <alignment horizontal="center" vertical="top" wrapText="1"/>
    </xf>
    <xf numFmtId="0" fontId="5" fillId="2" borderId="28" xfId="0" applyFont="1" applyFill="1" applyBorder="1" applyAlignment="1">
      <alignment horizontal="center" vertical="top" wrapText="1"/>
    </xf>
    <xf numFmtId="0" fontId="5" fillId="2" borderId="27" xfId="0" applyFont="1" applyFill="1" applyBorder="1" applyAlignment="1">
      <alignment horizontal="center" vertical="top" wrapText="1"/>
    </xf>
    <xf numFmtId="0" fontId="5" fillId="2" borderId="40" xfId="0" applyFont="1" applyFill="1" applyBorder="1" applyAlignment="1">
      <alignment horizontal="center" vertical="top" wrapText="1"/>
    </xf>
    <xf numFmtId="0" fontId="5" fillId="2" borderId="62" xfId="0" applyFont="1" applyFill="1" applyBorder="1" applyAlignment="1">
      <alignment horizontal="center" vertical="top" wrapText="1"/>
    </xf>
    <xf numFmtId="1" fontId="5" fillId="0" borderId="64" xfId="0" applyNumberFormat="1" applyFont="1" applyBorder="1" applyAlignment="1">
      <alignment vertical="top" wrapText="1"/>
    </xf>
    <xf numFmtId="2" fontId="10" fillId="0" borderId="10" xfId="1" applyNumberFormat="1" applyBorder="1" applyAlignment="1">
      <alignment vertical="center"/>
    </xf>
    <xf numFmtId="0" fontId="5" fillId="0" borderId="44" xfId="0" applyFont="1" applyBorder="1" applyAlignment="1">
      <alignment horizontal="center" vertical="top"/>
    </xf>
    <xf numFmtId="2" fontId="5" fillId="0" borderId="44" xfId="0" applyNumberFormat="1" applyFont="1" applyBorder="1" applyAlignment="1">
      <alignment horizontal="center" vertical="top" wrapText="1"/>
    </xf>
    <xf numFmtId="2" fontId="5" fillId="0" borderId="4" xfId="0" applyNumberFormat="1" applyFont="1" applyBorder="1" applyAlignment="1">
      <alignment horizontal="center" vertical="top" wrapText="1"/>
    </xf>
    <xf numFmtId="0" fontId="10" fillId="0" borderId="0" xfId="1" applyAlignment="1">
      <alignment horizontal="center" vertical="center" textRotation="180"/>
    </xf>
    <xf numFmtId="1" fontId="28" fillId="0" borderId="59" xfId="0" applyNumberFormat="1" applyFont="1" applyBorder="1" applyAlignment="1">
      <alignment horizontal="left" vertical="top" wrapText="1"/>
    </xf>
    <xf numFmtId="1" fontId="28" fillId="0" borderId="10" xfId="0" applyNumberFormat="1" applyFont="1" applyBorder="1" applyAlignment="1">
      <alignment horizontal="left" vertical="top" wrapText="1"/>
    </xf>
    <xf numFmtId="2" fontId="26" fillId="0" borderId="42" xfId="0" applyNumberFormat="1" applyFont="1" applyBorder="1" applyAlignment="1">
      <alignment vertical="top" wrapText="1"/>
    </xf>
    <xf numFmtId="2" fontId="26" fillId="0" borderId="22" xfId="0" applyNumberFormat="1" applyFont="1" applyBorder="1" applyAlignment="1">
      <alignment vertical="top" wrapText="1"/>
    </xf>
    <xf numFmtId="0" fontId="5" fillId="18" borderId="0" xfId="0" applyFont="1" applyFill="1" applyAlignment="1">
      <alignment horizontal="left" vertical="top"/>
    </xf>
    <xf numFmtId="0" fontId="5" fillId="0" borderId="43" xfId="0" applyFont="1" applyBorder="1" applyAlignment="1">
      <alignment vertical="top" wrapText="1"/>
    </xf>
    <xf numFmtId="0" fontId="5" fillId="0" borderId="22" xfId="0" applyFont="1" applyBorder="1" applyAlignment="1">
      <alignment horizontal="left" vertical="top" wrapText="1"/>
    </xf>
    <xf numFmtId="0" fontId="5" fillId="0" borderId="42" xfId="0" applyFont="1" applyBorder="1" applyAlignment="1">
      <alignment horizontal="left" vertical="top" wrapText="1"/>
    </xf>
    <xf numFmtId="0" fontId="5" fillId="2" borderId="56" xfId="0" applyFont="1" applyFill="1" applyBorder="1" applyAlignment="1">
      <alignment horizontal="center" vertical="top" wrapText="1"/>
    </xf>
    <xf numFmtId="0" fontId="5" fillId="0" borderId="10" xfId="0" applyFont="1" applyBorder="1" applyAlignment="1">
      <alignment vertical="top" wrapText="1"/>
    </xf>
    <xf numFmtId="1" fontId="26" fillId="2" borderId="58" xfId="0" applyNumberFormat="1" applyFont="1" applyFill="1" applyBorder="1" applyAlignment="1">
      <alignment horizontal="center" vertical="top" wrapText="1"/>
    </xf>
    <xf numFmtId="0" fontId="5" fillId="0" borderId="33" xfId="0" applyFont="1" applyBorder="1" applyAlignment="1">
      <alignment vertical="top" wrapText="1"/>
    </xf>
    <xf numFmtId="0" fontId="5" fillId="0" borderId="53" xfId="0" applyFont="1" applyBorder="1" applyAlignment="1">
      <alignment horizontal="center" vertical="top" wrapText="1"/>
    </xf>
    <xf numFmtId="1" fontId="23" fillId="2" borderId="57" xfId="0" applyNumberFormat="1" applyFont="1" applyFill="1" applyBorder="1" applyAlignment="1">
      <alignment horizontal="center" vertical="top" wrapText="1"/>
    </xf>
    <xf numFmtId="1" fontId="5" fillId="0" borderId="33" xfId="0" applyNumberFormat="1" applyFont="1" applyBorder="1" applyAlignment="1">
      <alignment horizontal="left" vertical="top" wrapText="1"/>
    </xf>
    <xf numFmtId="0" fontId="25" fillId="18" borderId="0" xfId="0" applyFont="1" applyFill="1" applyAlignment="1">
      <alignment horizontal="left" vertical="top" wrapText="1"/>
    </xf>
    <xf numFmtId="0" fontId="5" fillId="2" borderId="50" xfId="0" applyFont="1" applyFill="1" applyBorder="1" applyAlignment="1">
      <alignment horizontal="center" vertical="top" wrapText="1"/>
    </xf>
    <xf numFmtId="2" fontId="5" fillId="2" borderId="38" xfId="0" applyNumberFormat="1" applyFont="1" applyFill="1" applyBorder="1" applyAlignment="1">
      <alignment horizontal="center" vertical="top" wrapText="1"/>
    </xf>
    <xf numFmtId="0" fontId="28" fillId="2" borderId="7" xfId="0" applyFont="1" applyFill="1" applyBorder="1" applyAlignment="1">
      <alignment horizontal="center" vertical="top" wrapText="1"/>
    </xf>
    <xf numFmtId="49" fontId="2" fillId="0" borderId="1" xfId="1" applyNumberFormat="1" applyFont="1" applyBorder="1" applyAlignment="1">
      <alignment horizontal="center" vertical="center" wrapText="1"/>
    </xf>
    <xf numFmtId="49" fontId="2" fillId="0" borderId="2" xfId="1" applyNumberFormat="1" applyFont="1" applyBorder="1" applyAlignment="1">
      <alignment horizontal="center" vertical="center" wrapText="1"/>
    </xf>
    <xf numFmtId="49" fontId="2" fillId="0" borderId="4" xfId="1" applyNumberFormat="1" applyFont="1" applyBorder="1" applyAlignment="1">
      <alignment horizontal="center" vertical="center" wrapText="1"/>
    </xf>
    <xf numFmtId="49" fontId="2" fillId="0" borderId="8" xfId="1" applyNumberFormat="1" applyFont="1" applyBorder="1" applyAlignment="1">
      <alignment horizontal="center" vertical="center" wrapText="1"/>
    </xf>
    <xf numFmtId="2" fontId="47" fillId="0" borderId="34" xfId="1" applyNumberFormat="1" applyFont="1" applyBorder="1" applyAlignment="1">
      <alignment horizontal="right" vertical="center" wrapText="1"/>
    </xf>
    <xf numFmtId="49" fontId="2" fillId="0" borderId="35" xfId="1" applyNumberFormat="1" applyFont="1" applyBorder="1" applyAlignment="1">
      <alignment horizontal="center" vertical="center" wrapText="1"/>
    </xf>
    <xf numFmtId="49" fontId="2" fillId="0" borderId="6" xfId="1" applyNumberFormat="1" applyFont="1" applyBorder="1" applyAlignment="1">
      <alignment horizontal="center" vertical="center" wrapText="1"/>
    </xf>
    <xf numFmtId="0" fontId="26" fillId="0" borderId="45" xfId="0" applyFont="1" applyBorder="1" applyAlignment="1">
      <alignment horizontal="center" vertical="top" wrapText="1"/>
    </xf>
    <xf numFmtId="0" fontId="28" fillId="0" borderId="23" xfId="0" applyFont="1" applyBorder="1" applyAlignment="1">
      <alignment horizontal="left" vertical="top" wrapText="1"/>
    </xf>
    <xf numFmtId="0" fontId="5" fillId="0" borderId="69" xfId="0" applyFont="1" applyBorder="1" applyAlignment="1">
      <alignment vertical="top" wrapText="1"/>
    </xf>
    <xf numFmtId="2" fontId="5" fillId="2" borderId="52" xfId="0" applyNumberFormat="1" applyFont="1" applyFill="1" applyBorder="1" applyAlignment="1">
      <alignment horizontal="center" vertical="top"/>
    </xf>
    <xf numFmtId="2" fontId="5" fillId="7" borderId="58" xfId="0" applyNumberFormat="1" applyFont="1" applyFill="1" applyBorder="1" applyAlignment="1">
      <alignment horizontal="center" vertical="top" wrapText="1"/>
    </xf>
    <xf numFmtId="1" fontId="5" fillId="2" borderId="51" xfId="0" applyNumberFormat="1" applyFont="1" applyFill="1" applyBorder="1" applyAlignment="1">
      <alignment horizontal="center" vertical="top"/>
    </xf>
    <xf numFmtId="1" fontId="5" fillId="0" borderId="0" xfId="0" applyNumberFormat="1" applyFont="1">
      <alignment vertical="top"/>
    </xf>
    <xf numFmtId="0" fontId="5" fillId="0" borderId="59" xfId="0" applyFont="1" applyBorder="1">
      <alignment vertical="top"/>
    </xf>
    <xf numFmtId="0" fontId="5" fillId="0" borderId="10" xfId="0" applyFont="1" applyBorder="1">
      <alignment vertical="top"/>
    </xf>
    <xf numFmtId="2" fontId="26" fillId="2" borderId="28" xfId="0" applyNumberFormat="1" applyFont="1" applyFill="1" applyBorder="1" applyAlignment="1">
      <alignment horizontal="center" vertical="top"/>
    </xf>
    <xf numFmtId="2" fontId="26" fillId="2" borderId="62" xfId="0" applyNumberFormat="1" applyFont="1" applyFill="1" applyBorder="1" applyAlignment="1">
      <alignment horizontal="center" vertical="top"/>
    </xf>
    <xf numFmtId="0" fontId="39" fillId="0" borderId="5" xfId="0" applyFont="1" applyBorder="1" applyAlignment="1">
      <alignment horizontal="left" vertical="top" wrapText="1"/>
    </xf>
    <xf numFmtId="0" fontId="39" fillId="0" borderId="1" xfId="0" applyFont="1" applyBorder="1" applyAlignment="1">
      <alignment horizontal="center" vertical="top" wrapText="1"/>
    </xf>
    <xf numFmtId="2" fontId="26" fillId="5" borderId="42" xfId="0" applyNumberFormat="1" applyFont="1" applyFill="1" applyBorder="1" applyAlignment="1">
      <alignment horizontal="center" vertical="top"/>
    </xf>
    <xf numFmtId="1" fontId="23" fillId="2" borderId="52" xfId="0" applyNumberFormat="1" applyFont="1" applyFill="1" applyBorder="1" applyAlignment="1">
      <alignment horizontal="center" vertical="top" wrapText="1"/>
    </xf>
    <xf numFmtId="2" fontId="23" fillId="2" borderId="51" xfId="0" applyNumberFormat="1" applyFont="1" applyFill="1" applyBorder="1" applyAlignment="1">
      <alignment horizontal="center" vertical="top"/>
    </xf>
    <xf numFmtId="0" fontId="26" fillId="0" borderId="12" xfId="0" applyFont="1" applyBorder="1" applyAlignment="1">
      <alignment horizontal="center" vertical="top" wrapText="1"/>
    </xf>
    <xf numFmtId="0" fontId="26" fillId="0" borderId="43" xfId="0" applyFont="1" applyBorder="1" applyAlignment="1">
      <alignment vertical="top" wrapText="1"/>
    </xf>
    <xf numFmtId="2" fontId="26" fillId="2" borderId="62" xfId="0" applyNumberFormat="1" applyFont="1" applyFill="1" applyBorder="1" applyAlignment="1">
      <alignment horizontal="center" vertical="top" wrapText="1"/>
    </xf>
    <xf numFmtId="0" fontId="26" fillId="0" borderId="6" xfId="0" applyFont="1" applyBorder="1" applyAlignment="1">
      <alignment horizontal="left" vertical="top" wrapText="1"/>
    </xf>
    <xf numFmtId="0" fontId="26" fillId="0" borderId="50" xfId="0" applyFont="1" applyBorder="1" applyAlignment="1">
      <alignment horizontal="left" vertical="top" wrapText="1"/>
    </xf>
    <xf numFmtId="0" fontId="26" fillId="0" borderId="44" xfId="0" applyFont="1" applyBorder="1" applyAlignment="1">
      <alignment horizontal="center" vertical="top" wrapText="1"/>
    </xf>
    <xf numFmtId="0" fontId="28" fillId="0" borderId="57" xfId="0" applyFont="1" applyBorder="1" applyAlignment="1">
      <alignment horizontal="center" vertical="top" wrapText="1"/>
    </xf>
    <xf numFmtId="1" fontId="28" fillId="2" borderId="57" xfId="0" applyNumberFormat="1" applyFont="1" applyFill="1" applyBorder="1" applyAlignment="1">
      <alignment horizontal="center" vertical="top" wrapText="1"/>
    </xf>
    <xf numFmtId="1" fontId="28" fillId="2" borderId="49" xfId="0" applyNumberFormat="1" applyFont="1" applyFill="1" applyBorder="1" applyAlignment="1">
      <alignment horizontal="center" vertical="top" wrapText="1"/>
    </xf>
    <xf numFmtId="2" fontId="28" fillId="5" borderId="68" xfId="0" applyNumberFormat="1" applyFont="1" applyFill="1" applyBorder="1" applyAlignment="1">
      <alignment horizontal="center" vertical="top" wrapText="1"/>
    </xf>
    <xf numFmtId="0" fontId="28" fillId="0" borderId="65" xfId="0" applyFont="1" applyBorder="1" applyAlignment="1">
      <alignment horizontal="left" vertical="top" wrapText="1"/>
    </xf>
    <xf numFmtId="1" fontId="5" fillId="2" borderId="62" xfId="0" applyNumberFormat="1" applyFont="1" applyFill="1" applyBorder="1" applyAlignment="1">
      <alignment horizontal="center" vertical="top" wrapText="1"/>
    </xf>
    <xf numFmtId="1" fontId="5" fillId="2" borderId="28" xfId="0" applyNumberFormat="1" applyFont="1" applyFill="1" applyBorder="1" applyAlignment="1">
      <alignment horizontal="center" vertical="top" wrapText="1"/>
    </xf>
    <xf numFmtId="1" fontId="5" fillId="2" borderId="6" xfId="0" applyNumberFormat="1" applyFont="1" applyFill="1" applyBorder="1" applyAlignment="1">
      <alignment horizontal="center" vertical="top"/>
    </xf>
    <xf numFmtId="0" fontId="28" fillId="0" borderId="16" xfId="0" applyFont="1" applyBorder="1" applyAlignment="1">
      <alignment vertical="top" wrapText="1"/>
    </xf>
    <xf numFmtId="0" fontId="28" fillId="0" borderId="12" xfId="0" applyFont="1" applyBorder="1" applyAlignment="1">
      <alignment horizontal="center" vertical="top" wrapText="1"/>
    </xf>
    <xf numFmtId="0" fontId="28" fillId="0" borderId="6" xfId="0" applyFont="1" applyBorder="1" applyAlignment="1">
      <alignment horizontal="center" vertical="top" wrapText="1"/>
    </xf>
    <xf numFmtId="0" fontId="5" fillId="0" borderId="73" xfId="0" applyFont="1" applyBorder="1" applyAlignment="1">
      <alignment vertical="top" wrapText="1"/>
    </xf>
    <xf numFmtId="0" fontId="5" fillId="0" borderId="60" xfId="0" applyFont="1" applyBorder="1" applyAlignment="1">
      <alignment vertical="top" wrapText="1"/>
    </xf>
    <xf numFmtId="1" fontId="5" fillId="0" borderId="10" xfId="0" applyNumberFormat="1" applyFont="1" applyBorder="1" applyAlignment="1">
      <alignment horizontal="left" vertical="top" wrapText="1"/>
    </xf>
    <xf numFmtId="1" fontId="5" fillId="2" borderId="57" xfId="0" applyNumberFormat="1" applyFont="1" applyFill="1" applyBorder="1" applyAlignment="1">
      <alignment horizontal="center" vertical="top"/>
    </xf>
    <xf numFmtId="2" fontId="5" fillId="2" borderId="1" xfId="0" applyNumberFormat="1" applyFont="1" applyFill="1" applyBorder="1" applyAlignment="1">
      <alignment horizontal="center" vertical="top"/>
    </xf>
    <xf numFmtId="1" fontId="5" fillId="2" borderId="59" xfId="0" applyNumberFormat="1" applyFont="1" applyFill="1" applyBorder="1" applyAlignment="1">
      <alignment horizontal="center" vertical="top" wrapText="1"/>
    </xf>
    <xf numFmtId="2" fontId="23" fillId="2" borderId="48" xfId="0" applyNumberFormat="1" applyFont="1" applyFill="1" applyBorder="1" applyAlignment="1">
      <alignment horizontal="center" vertical="top" wrapText="1"/>
    </xf>
    <xf numFmtId="0" fontId="26" fillId="2" borderId="6" xfId="0" applyFont="1" applyFill="1" applyBorder="1" applyAlignment="1">
      <alignment horizontal="center" vertical="top" wrapText="1"/>
    </xf>
    <xf numFmtId="0" fontId="26" fillId="2" borderId="50" xfId="0" applyFont="1" applyFill="1" applyBorder="1" applyAlignment="1">
      <alignment horizontal="center" vertical="top" wrapText="1"/>
    </xf>
    <xf numFmtId="1" fontId="26" fillId="2" borderId="57" xfId="0" applyNumberFormat="1" applyFont="1" applyFill="1" applyBorder="1" applyAlignment="1">
      <alignment horizontal="center" vertical="top" wrapText="1"/>
    </xf>
    <xf numFmtId="1" fontId="26" fillId="0" borderId="44" xfId="0" applyNumberFormat="1" applyFont="1" applyBorder="1" applyAlignment="1">
      <alignment horizontal="center" vertical="top" wrapText="1"/>
    </xf>
    <xf numFmtId="0" fontId="26" fillId="2" borderId="51" xfId="0" applyFont="1" applyFill="1" applyBorder="1" applyAlignment="1">
      <alignment horizontal="center" vertical="top" wrapText="1"/>
    </xf>
    <xf numFmtId="1" fontId="26" fillId="0" borderId="12" xfId="0" applyNumberFormat="1" applyFont="1" applyBorder="1" applyAlignment="1">
      <alignment horizontal="center" vertical="top" wrapText="1"/>
    </xf>
    <xf numFmtId="1" fontId="26" fillId="0" borderId="6" xfId="0" applyNumberFormat="1" applyFont="1" applyBorder="1" applyAlignment="1">
      <alignment horizontal="center" vertical="top" wrapText="1"/>
    </xf>
    <xf numFmtId="1" fontId="26" fillId="0" borderId="50" xfId="0" applyNumberFormat="1" applyFont="1" applyBorder="1" applyAlignment="1">
      <alignment horizontal="center" vertical="top" wrapText="1"/>
    </xf>
    <xf numFmtId="0" fontId="28" fillId="0" borderId="50" xfId="0" applyFont="1" applyBorder="1" applyAlignment="1">
      <alignment horizontal="center" vertical="top" wrapText="1"/>
    </xf>
    <xf numFmtId="1" fontId="5" fillId="0" borderId="11" xfId="0" applyNumberFormat="1" applyFont="1" applyBorder="1" applyAlignment="1">
      <alignment horizontal="center" vertical="top" wrapText="1"/>
    </xf>
    <xf numFmtId="1" fontId="5" fillId="0" borderId="17" xfId="0" applyNumberFormat="1" applyFont="1" applyBorder="1" applyAlignment="1">
      <alignment horizontal="center" vertical="top" wrapText="1"/>
    </xf>
    <xf numFmtId="1" fontId="5" fillId="0" borderId="50" xfId="0" applyNumberFormat="1" applyFont="1" applyBorder="1" applyAlignment="1">
      <alignment horizontal="center" vertical="top" wrapText="1"/>
    </xf>
    <xf numFmtId="2" fontId="5" fillId="14" borderId="3" xfId="0" applyNumberFormat="1" applyFont="1" applyFill="1" applyBorder="1" applyAlignment="1">
      <alignment horizontal="center" vertical="top" wrapText="1"/>
    </xf>
    <xf numFmtId="0" fontId="23" fillId="0" borderId="0" xfId="0" applyFont="1" applyAlignment="1">
      <alignment horizontal="center" vertical="top" wrapText="1"/>
    </xf>
    <xf numFmtId="1" fontId="5" fillId="0" borderId="45" xfId="0" applyNumberFormat="1" applyFont="1" applyBorder="1" applyAlignment="1">
      <alignment horizontal="right" vertical="top" wrapText="1"/>
    </xf>
    <xf numFmtId="2" fontId="5" fillId="2" borderId="47" xfId="0" applyNumberFormat="1" applyFont="1" applyFill="1" applyBorder="1" applyAlignment="1">
      <alignment horizontal="center" vertical="top"/>
    </xf>
    <xf numFmtId="0" fontId="5" fillId="0" borderId="0" xfId="0" applyFont="1" applyAlignment="1"/>
    <xf numFmtId="2" fontId="5" fillId="2" borderId="44" xfId="0" applyNumberFormat="1" applyFont="1" applyFill="1" applyBorder="1" applyAlignment="1">
      <alignment horizontal="center" vertical="top" wrapText="1"/>
    </xf>
    <xf numFmtId="2" fontId="26" fillId="5" borderId="42" xfId="0" applyNumberFormat="1" applyFont="1" applyFill="1" applyBorder="1" applyAlignment="1">
      <alignment horizontal="center" vertical="top" wrapText="1"/>
    </xf>
    <xf numFmtId="0" fontId="28" fillId="0" borderId="10" xfId="0" applyFont="1" applyBorder="1" applyAlignment="1">
      <alignment vertical="top" wrapText="1"/>
    </xf>
    <xf numFmtId="0" fontId="5" fillId="0" borderId="59" xfId="0" applyFont="1" applyBorder="1" applyAlignment="1">
      <alignment vertical="top" wrapText="1"/>
    </xf>
    <xf numFmtId="0" fontId="26" fillId="0" borderId="46" xfId="0" applyFont="1" applyBorder="1" applyAlignment="1">
      <alignment vertical="top" wrapText="1"/>
    </xf>
    <xf numFmtId="1" fontId="5" fillId="2" borderId="65" xfId="0" applyNumberFormat="1" applyFont="1" applyFill="1" applyBorder="1" applyAlignment="1">
      <alignment horizontal="center" vertical="top"/>
    </xf>
    <xf numFmtId="0" fontId="5" fillId="0" borderId="69" xfId="0" applyFont="1" applyBorder="1">
      <alignment vertical="top"/>
    </xf>
    <xf numFmtId="1" fontId="5" fillId="2" borderId="50" xfId="0" applyNumberFormat="1" applyFont="1" applyFill="1" applyBorder="1" applyAlignment="1">
      <alignment horizontal="center" vertical="top"/>
    </xf>
    <xf numFmtId="1" fontId="5" fillId="0" borderId="68" xfId="0" applyNumberFormat="1" applyFont="1" applyBorder="1" applyAlignment="1">
      <alignment horizontal="left" vertical="top" wrapText="1"/>
    </xf>
    <xf numFmtId="2" fontId="26" fillId="0" borderId="45" xfId="0" applyNumberFormat="1" applyFont="1" applyBorder="1" applyAlignment="1">
      <alignment vertical="top" wrapText="1"/>
    </xf>
    <xf numFmtId="1" fontId="26" fillId="2" borderId="44" xfId="0" applyNumberFormat="1" applyFont="1" applyFill="1" applyBorder="1" applyAlignment="1">
      <alignment horizontal="center" vertical="top"/>
    </xf>
    <xf numFmtId="2" fontId="26" fillId="2" borderId="51" xfId="0" applyNumberFormat="1" applyFont="1" applyFill="1" applyBorder="1" applyAlignment="1">
      <alignment horizontal="center" vertical="top"/>
    </xf>
    <xf numFmtId="1" fontId="5" fillId="2" borderId="17" xfId="0" applyNumberFormat="1" applyFont="1" applyFill="1" applyBorder="1" applyAlignment="1">
      <alignment horizontal="center" vertical="top"/>
    </xf>
    <xf numFmtId="2" fontId="26" fillId="0" borderId="76" xfId="0" applyNumberFormat="1" applyFont="1" applyBorder="1" applyAlignment="1">
      <alignment vertical="top" wrapText="1"/>
    </xf>
    <xf numFmtId="2" fontId="26" fillId="0" borderId="60" xfId="0" applyNumberFormat="1" applyFont="1" applyBorder="1" applyAlignment="1">
      <alignment vertical="top" wrapText="1"/>
    </xf>
    <xf numFmtId="2" fontId="26" fillId="0" borderId="33" xfId="0" applyNumberFormat="1" applyFont="1" applyBorder="1" applyAlignment="1">
      <alignment vertical="top" wrapText="1"/>
    </xf>
    <xf numFmtId="2" fontId="26" fillId="0" borderId="74" xfId="0" applyNumberFormat="1" applyFont="1" applyBorder="1" applyAlignment="1">
      <alignment vertical="top" wrapText="1"/>
    </xf>
    <xf numFmtId="2" fontId="26" fillId="0" borderId="54" xfId="0" applyNumberFormat="1" applyFont="1" applyBorder="1" applyAlignment="1">
      <alignment vertical="top" wrapText="1"/>
    </xf>
    <xf numFmtId="2" fontId="26" fillId="0" borderId="77" xfId="0" applyNumberFormat="1" applyFont="1" applyBorder="1" applyAlignment="1">
      <alignment vertical="top" wrapText="1"/>
    </xf>
    <xf numFmtId="1" fontId="26" fillId="2" borderId="54" xfId="0" applyNumberFormat="1" applyFont="1" applyFill="1" applyBorder="1" applyAlignment="1">
      <alignment horizontal="center" vertical="top" wrapText="1"/>
    </xf>
    <xf numFmtId="1" fontId="23" fillId="2" borderId="47" xfId="0" applyNumberFormat="1" applyFont="1" applyFill="1" applyBorder="1" applyAlignment="1">
      <alignment horizontal="center" vertical="top"/>
    </xf>
    <xf numFmtId="0" fontId="23" fillId="0" borderId="6" xfId="0" applyFont="1" applyBorder="1" applyAlignment="1">
      <alignment horizontal="left" vertical="top" wrapText="1"/>
    </xf>
    <xf numFmtId="0" fontId="23" fillId="0" borderId="66" xfId="0" applyFont="1" applyBorder="1" applyAlignment="1">
      <alignment vertical="top" wrapText="1"/>
    </xf>
    <xf numFmtId="0" fontId="23" fillId="0" borderId="25" xfId="0" applyFont="1" applyBorder="1" applyAlignment="1">
      <alignment vertical="top" wrapText="1"/>
    </xf>
    <xf numFmtId="0" fontId="23" fillId="0" borderId="36" xfId="0" applyFont="1" applyBorder="1" applyAlignment="1">
      <alignment horizontal="center" vertical="top" wrapText="1"/>
    </xf>
    <xf numFmtId="0" fontId="23" fillId="0" borderId="60" xfId="0" applyFont="1" applyBorder="1" applyAlignment="1">
      <alignment vertical="top" wrapText="1"/>
    </xf>
    <xf numFmtId="0" fontId="26" fillId="0" borderId="10" xfId="0" applyFont="1" applyBorder="1" applyAlignment="1">
      <alignment vertical="top" wrapText="1"/>
    </xf>
    <xf numFmtId="0" fontId="26" fillId="0" borderId="12" xfId="0" applyFont="1" applyBorder="1" applyAlignment="1">
      <alignment horizontal="left" vertical="top" wrapText="1"/>
    </xf>
    <xf numFmtId="2" fontId="26" fillId="2" borderId="40" xfId="0" applyNumberFormat="1" applyFont="1" applyFill="1" applyBorder="1" applyAlignment="1">
      <alignment horizontal="center" vertical="top" wrapText="1"/>
    </xf>
    <xf numFmtId="0" fontId="26" fillId="0" borderId="42" xfId="0" applyFont="1" applyBorder="1">
      <alignment vertical="top"/>
    </xf>
    <xf numFmtId="0" fontId="26" fillId="0" borderId="7" xfId="0" applyFont="1" applyBorder="1" applyAlignment="1">
      <alignment horizontal="center" vertical="top"/>
    </xf>
    <xf numFmtId="49" fontId="26" fillId="0" borderId="5" xfId="0" applyNumberFormat="1" applyFont="1" applyBorder="1" applyAlignment="1">
      <alignment vertical="top" wrapText="1"/>
    </xf>
    <xf numFmtId="49" fontId="26" fillId="0" borderId="45" xfId="0" applyNumberFormat="1" applyFont="1" applyBorder="1" applyAlignment="1">
      <alignment vertical="top" wrapText="1"/>
    </xf>
    <xf numFmtId="0" fontId="26" fillId="0" borderId="60" xfId="0" applyFont="1" applyBorder="1" applyAlignment="1">
      <alignment vertical="top" wrapText="1"/>
    </xf>
    <xf numFmtId="0" fontId="26" fillId="0" borderId="10" xfId="0" applyFont="1" applyBorder="1" applyAlignment="1">
      <alignment horizontal="center" vertical="top" wrapText="1"/>
    </xf>
    <xf numFmtId="0" fontId="26" fillId="0" borderId="59" xfId="0" applyFont="1" applyBorder="1" applyAlignment="1">
      <alignment vertical="top" wrapText="1"/>
    </xf>
    <xf numFmtId="0" fontId="26" fillId="0" borderId="11" xfId="0" applyFont="1" applyBorder="1" applyAlignment="1">
      <alignment horizontal="center" vertical="top" wrapText="1"/>
    </xf>
    <xf numFmtId="0" fontId="26" fillId="0" borderId="54" xfId="0" applyFont="1" applyBorder="1" applyAlignment="1">
      <alignment vertical="top" wrapText="1"/>
    </xf>
    <xf numFmtId="0" fontId="26" fillId="0" borderId="76" xfId="0" applyFont="1" applyBorder="1" applyAlignment="1">
      <alignment vertical="top" wrapText="1"/>
    </xf>
    <xf numFmtId="0" fontId="26" fillId="0" borderId="33" xfId="0" applyFont="1" applyBorder="1" applyAlignment="1">
      <alignment vertical="top" wrapText="1"/>
    </xf>
    <xf numFmtId="0" fontId="26" fillId="2" borderId="17" xfId="0" applyFont="1" applyFill="1" applyBorder="1" applyAlignment="1">
      <alignment horizontal="center" vertical="top" wrapText="1"/>
    </xf>
    <xf numFmtId="0" fontId="26" fillId="0" borderId="52" xfId="0" applyFont="1" applyBorder="1" applyAlignment="1">
      <alignment horizontal="center" vertical="top" wrapText="1"/>
    </xf>
    <xf numFmtId="0" fontId="26" fillId="0" borderId="5" xfId="0" applyFont="1" applyBorder="1" applyAlignment="1">
      <alignment horizontal="left" vertical="top" wrapText="1"/>
    </xf>
    <xf numFmtId="49" fontId="6" fillId="0" borderId="0" xfId="0" applyNumberFormat="1" applyFont="1" applyAlignment="1">
      <alignment horizontal="left" vertical="top" wrapText="1"/>
    </xf>
    <xf numFmtId="0" fontId="13" fillId="0" borderId="0" xfId="0" applyFont="1" applyAlignment="1">
      <alignment horizontal="center" vertical="top"/>
    </xf>
    <xf numFmtId="2" fontId="28" fillId="15" borderId="22" xfId="0" applyNumberFormat="1" applyFont="1" applyFill="1" applyBorder="1" applyAlignment="1">
      <alignment horizontal="center" vertical="top" wrapText="1"/>
    </xf>
    <xf numFmtId="2" fontId="28" fillId="13" borderId="22" xfId="0" applyNumberFormat="1" applyFont="1" applyFill="1" applyBorder="1" applyAlignment="1">
      <alignment horizontal="center" vertical="top" wrapText="1"/>
    </xf>
    <xf numFmtId="1" fontId="5" fillId="0" borderId="53" xfId="0" applyNumberFormat="1" applyFont="1" applyBorder="1" applyAlignment="1">
      <alignment horizontal="left" vertical="top" wrapText="1"/>
    </xf>
    <xf numFmtId="1" fontId="5" fillId="0" borderId="51" xfId="0" applyNumberFormat="1" applyFont="1" applyBorder="1" applyAlignment="1">
      <alignment horizontal="center" vertical="top" wrapText="1"/>
    </xf>
    <xf numFmtId="1" fontId="28" fillId="14" borderId="44" xfId="0" applyNumberFormat="1" applyFont="1" applyFill="1" applyBorder="1" applyAlignment="1">
      <alignment horizontal="center" vertical="top" wrapText="1"/>
    </xf>
    <xf numFmtId="1" fontId="5" fillId="0" borderId="23" xfId="0" applyNumberFormat="1" applyFont="1" applyBorder="1" applyAlignment="1">
      <alignment vertical="top" wrapText="1"/>
    </xf>
    <xf numFmtId="1" fontId="5" fillId="0" borderId="57" xfId="0" applyNumberFormat="1" applyFont="1" applyBorder="1" applyAlignment="1">
      <alignment horizontal="center" vertical="top" wrapText="1"/>
    </xf>
    <xf numFmtId="1" fontId="5" fillId="2" borderId="65" xfId="0" applyNumberFormat="1" applyFont="1" applyFill="1" applyBorder="1" applyAlignment="1">
      <alignment horizontal="center" vertical="top" wrapText="1"/>
    </xf>
    <xf numFmtId="1" fontId="5" fillId="0" borderId="65" xfId="0" applyNumberFormat="1" applyFont="1" applyBorder="1" applyAlignment="1">
      <alignment vertical="top" wrapText="1"/>
    </xf>
    <xf numFmtId="1" fontId="5" fillId="2" borderId="58" xfId="0" applyNumberFormat="1" applyFont="1" applyFill="1" applyBorder="1" applyAlignment="1">
      <alignment horizontal="center" vertical="top" wrapText="1"/>
    </xf>
    <xf numFmtId="0" fontId="50" fillId="0" borderId="0" xfId="0" applyFont="1" applyAlignment="1">
      <alignment vertical="top" wrapText="1"/>
    </xf>
    <xf numFmtId="0" fontId="48" fillId="0" borderId="0" xfId="0" applyFont="1" applyAlignment="1">
      <alignment vertical="top" wrapText="1"/>
    </xf>
    <xf numFmtId="2" fontId="5" fillId="0" borderId="56" xfId="0" applyNumberFormat="1" applyFont="1" applyBorder="1" applyAlignment="1">
      <alignment horizontal="center" vertical="top" wrapText="1"/>
    </xf>
    <xf numFmtId="1" fontId="5" fillId="2" borderId="63" xfId="0" applyNumberFormat="1" applyFont="1" applyFill="1" applyBorder="1" applyAlignment="1">
      <alignment horizontal="center" vertical="top" wrapText="1"/>
    </xf>
    <xf numFmtId="1" fontId="5" fillId="2" borderId="54" xfId="0" applyNumberFormat="1" applyFont="1" applyFill="1" applyBorder="1" applyAlignment="1">
      <alignment horizontal="center" vertical="top" wrapText="1"/>
    </xf>
    <xf numFmtId="0" fontId="40" fillId="0" borderId="0" xfId="0" applyFont="1" applyAlignment="1">
      <alignment horizontal="left" vertical="top" wrapText="1"/>
    </xf>
    <xf numFmtId="2" fontId="5" fillId="15" borderId="5" xfId="0" applyNumberFormat="1" applyFont="1" applyFill="1" applyBorder="1" applyAlignment="1">
      <alignment horizontal="center" vertical="top"/>
    </xf>
    <xf numFmtId="2" fontId="5" fillId="2" borderId="28" xfId="0" applyNumberFormat="1" applyFont="1" applyFill="1" applyBorder="1" applyAlignment="1">
      <alignment horizontal="center" vertical="top"/>
    </xf>
    <xf numFmtId="2" fontId="5" fillId="2" borderId="27" xfId="0" applyNumberFormat="1" applyFont="1" applyFill="1" applyBorder="1" applyAlignment="1">
      <alignment horizontal="center" vertical="top"/>
    </xf>
    <xf numFmtId="2" fontId="5" fillId="2" borderId="40" xfId="0" applyNumberFormat="1" applyFont="1" applyFill="1" applyBorder="1" applyAlignment="1">
      <alignment horizontal="center" vertical="top"/>
    </xf>
    <xf numFmtId="2" fontId="26" fillId="0" borderId="75" xfId="0" applyNumberFormat="1" applyFont="1" applyBorder="1" applyAlignment="1">
      <alignment vertical="top" wrapText="1"/>
    </xf>
    <xf numFmtId="1" fontId="26" fillId="2" borderId="13" xfId="0" applyNumberFormat="1" applyFont="1" applyFill="1" applyBorder="1" applyAlignment="1">
      <alignment horizontal="center" vertical="top" wrapText="1"/>
    </xf>
    <xf numFmtId="2" fontId="26" fillId="0" borderId="44" xfId="0" applyNumberFormat="1" applyFont="1" applyBorder="1" applyAlignment="1">
      <alignment horizontal="center" vertical="top" wrapText="1"/>
    </xf>
    <xf numFmtId="0" fontId="52" fillId="0" borderId="0" xfId="0" applyFont="1">
      <alignment vertical="top"/>
    </xf>
    <xf numFmtId="0" fontId="26" fillId="0" borderId="6" xfId="0" applyFont="1" applyBorder="1" applyAlignment="1">
      <alignment horizontal="center" vertical="top" wrapText="1"/>
    </xf>
    <xf numFmtId="0" fontId="26" fillId="0" borderId="50" xfId="0" applyFont="1" applyBorder="1" applyAlignment="1">
      <alignment horizontal="center" vertical="top" wrapText="1"/>
    </xf>
    <xf numFmtId="1" fontId="26" fillId="2" borderId="14" xfId="0" applyNumberFormat="1" applyFont="1" applyFill="1" applyBorder="1" applyAlignment="1">
      <alignment horizontal="center" vertical="top" wrapText="1"/>
    </xf>
    <xf numFmtId="0" fontId="48" fillId="0" borderId="0" xfId="0" applyFont="1">
      <alignment vertical="top"/>
    </xf>
    <xf numFmtId="2" fontId="26" fillId="7" borderId="46" xfId="0" applyNumberFormat="1" applyFont="1" applyFill="1" applyBorder="1" applyAlignment="1">
      <alignment horizontal="center" vertical="top" wrapText="1"/>
    </xf>
    <xf numFmtId="2" fontId="5" fillId="2" borderId="62" xfId="0" applyNumberFormat="1" applyFont="1" applyFill="1" applyBorder="1" applyAlignment="1">
      <alignment horizontal="center" vertical="top"/>
    </xf>
    <xf numFmtId="0" fontId="5" fillId="2" borderId="17" xfId="0" applyFont="1" applyFill="1" applyBorder="1" applyAlignment="1">
      <alignment horizontal="center" vertical="top" wrapText="1"/>
    </xf>
    <xf numFmtId="0" fontId="5" fillId="0" borderId="69" xfId="0" applyFont="1" applyBorder="1" applyAlignment="1">
      <alignment horizontal="left" vertical="top" wrapText="1"/>
    </xf>
    <xf numFmtId="0" fontId="23" fillId="0" borderId="23" xfId="0" applyFont="1" applyBorder="1" applyAlignment="1">
      <alignment horizontal="left" vertical="top" wrapText="1"/>
    </xf>
    <xf numFmtId="0" fontId="23" fillId="0" borderId="68" xfId="0" applyFont="1" applyBorder="1" applyAlignment="1">
      <alignment vertical="top" wrapText="1"/>
    </xf>
    <xf numFmtId="0" fontId="5" fillId="0" borderId="77" xfId="0" applyFont="1" applyBorder="1" applyAlignment="1">
      <alignment horizontal="left" vertical="top" wrapText="1"/>
    </xf>
    <xf numFmtId="0" fontId="5" fillId="0" borderId="60" xfId="0" applyFont="1" applyBorder="1" applyAlignment="1">
      <alignment horizontal="left" vertical="top" wrapText="1"/>
    </xf>
    <xf numFmtId="0" fontId="5" fillId="0" borderId="73" xfId="0" applyFont="1" applyBorder="1" applyAlignment="1">
      <alignment horizontal="left" vertical="top" wrapText="1"/>
    </xf>
    <xf numFmtId="0" fontId="5" fillId="0" borderId="33" xfId="0" applyFont="1" applyBorder="1" applyAlignment="1">
      <alignment horizontal="left" vertical="top" wrapText="1"/>
    </xf>
    <xf numFmtId="1" fontId="23" fillId="2" borderId="57" xfId="0" applyNumberFormat="1" applyFont="1" applyFill="1" applyBorder="1" applyAlignment="1">
      <alignment horizontal="center" vertical="top"/>
    </xf>
    <xf numFmtId="1" fontId="23" fillId="2" borderId="1" xfId="0" applyNumberFormat="1" applyFont="1" applyFill="1" applyBorder="1" applyAlignment="1">
      <alignment horizontal="center" vertical="top"/>
    </xf>
    <xf numFmtId="1" fontId="23" fillId="2" borderId="39" xfId="0" applyNumberFormat="1" applyFont="1" applyFill="1" applyBorder="1" applyAlignment="1">
      <alignment horizontal="center" vertical="top"/>
    </xf>
    <xf numFmtId="0" fontId="51" fillId="0" borderId="0" xfId="0" applyFont="1" applyAlignment="1">
      <alignment vertical="top" wrapText="1"/>
    </xf>
    <xf numFmtId="0" fontId="5" fillId="0" borderId="42" xfId="0" applyFont="1" applyBorder="1" applyAlignment="1">
      <alignment vertical="top" wrapText="1"/>
    </xf>
    <xf numFmtId="0" fontId="26" fillId="0" borderId="42" xfId="0" applyFont="1" applyBorder="1" applyAlignment="1">
      <alignment vertical="top" wrapText="1"/>
    </xf>
    <xf numFmtId="1" fontId="26" fillId="0" borderId="34" xfId="0" applyNumberFormat="1" applyFont="1" applyBorder="1" applyAlignment="1">
      <alignment vertical="top" wrapText="1"/>
    </xf>
    <xf numFmtId="1" fontId="26" fillId="0" borderId="5" xfId="0" applyNumberFormat="1" applyFont="1" applyBorder="1" applyAlignment="1">
      <alignment vertical="top" wrapText="1"/>
    </xf>
    <xf numFmtId="1" fontId="26" fillId="0" borderId="59" xfId="0" applyNumberFormat="1" applyFont="1" applyBorder="1" applyAlignment="1">
      <alignment vertical="top" wrapText="1"/>
    </xf>
    <xf numFmtId="0" fontId="26" fillId="0" borderId="56" xfId="0" applyFont="1" applyBorder="1" applyAlignment="1">
      <alignment horizontal="right" vertical="top" wrapText="1"/>
    </xf>
    <xf numFmtId="1" fontId="26" fillId="0" borderId="23" xfId="0" applyNumberFormat="1" applyFont="1" applyBorder="1" applyAlignment="1">
      <alignment vertical="top" wrapText="1"/>
    </xf>
    <xf numFmtId="1" fontId="26" fillId="0" borderId="22" xfId="0" applyNumberFormat="1" applyFont="1" applyBorder="1" applyAlignment="1">
      <alignment vertical="top" wrapText="1"/>
    </xf>
    <xf numFmtId="2" fontId="26" fillId="0" borderId="56" xfId="0" applyNumberFormat="1" applyFont="1" applyBorder="1" applyAlignment="1">
      <alignment horizontal="center" vertical="top" wrapText="1"/>
    </xf>
    <xf numFmtId="2" fontId="26" fillId="0" borderId="53" xfId="0" applyNumberFormat="1" applyFont="1" applyBorder="1" applyAlignment="1">
      <alignment horizontal="center" vertical="top" wrapText="1"/>
    </xf>
    <xf numFmtId="2" fontId="26" fillId="0" borderId="75" xfId="0" applyNumberFormat="1" applyFont="1" applyBorder="1" applyAlignment="1">
      <alignment horizontal="right" vertical="top" wrapText="1"/>
    </xf>
    <xf numFmtId="2" fontId="26" fillId="0" borderId="49" xfId="0" applyNumberFormat="1" applyFont="1" applyBorder="1" applyAlignment="1">
      <alignment horizontal="center" vertical="top" wrapText="1"/>
    </xf>
    <xf numFmtId="0" fontId="26" fillId="2" borderId="49" xfId="0" applyFont="1" applyFill="1" applyBorder="1" applyAlignment="1">
      <alignment horizontal="center" vertical="top" wrapText="1"/>
    </xf>
    <xf numFmtId="2" fontId="26" fillId="5" borderId="68" xfId="0" applyNumberFormat="1" applyFont="1" applyFill="1" applyBorder="1" applyAlignment="1">
      <alignment horizontal="center" vertical="top" wrapText="1"/>
    </xf>
    <xf numFmtId="2" fontId="26" fillId="0" borderId="52" xfId="0" applyNumberFormat="1" applyFont="1" applyBorder="1" applyAlignment="1">
      <alignment horizontal="center" vertical="top" wrapText="1"/>
    </xf>
    <xf numFmtId="2" fontId="26" fillId="0" borderId="43" xfId="0" applyNumberFormat="1" applyFont="1" applyBorder="1" applyAlignment="1">
      <alignment horizontal="right" vertical="top" wrapText="1" indent="1"/>
    </xf>
    <xf numFmtId="49" fontId="26" fillId="0" borderId="59" xfId="0" applyNumberFormat="1" applyFont="1" applyBorder="1" applyAlignment="1">
      <alignment vertical="top" wrapText="1"/>
    </xf>
    <xf numFmtId="0" fontId="26" fillId="0" borderId="7" xfId="0" applyFont="1" applyBorder="1" applyAlignment="1">
      <alignment horizontal="center" vertical="top" wrapText="1"/>
    </xf>
    <xf numFmtId="0" fontId="12" fillId="0" borderId="5" xfId="0" applyFont="1" applyBorder="1" applyAlignment="1">
      <alignment vertical="top" wrapText="1"/>
    </xf>
    <xf numFmtId="2" fontId="28" fillId="0" borderId="44" xfId="0" applyNumberFormat="1" applyFont="1" applyBorder="1" applyAlignment="1">
      <alignment horizontal="right" vertical="top" wrapText="1"/>
    </xf>
    <xf numFmtId="0" fontId="28" fillId="0" borderId="54" xfId="0" applyFont="1" applyBorder="1" applyAlignment="1">
      <alignment vertical="top" wrapText="1"/>
    </xf>
    <xf numFmtId="0" fontId="28" fillId="0" borderId="60" xfId="0" applyFont="1" applyBorder="1" applyAlignment="1">
      <alignment vertical="top" wrapText="1"/>
    </xf>
    <xf numFmtId="0" fontId="5" fillId="0" borderId="4" xfId="0" applyFont="1" applyBorder="1" applyAlignment="1">
      <alignment vertical="top" wrapText="1"/>
    </xf>
    <xf numFmtId="0" fontId="5" fillId="0" borderId="47" xfId="0" applyFont="1" applyBorder="1" applyAlignment="1">
      <alignment vertical="top" wrapText="1"/>
    </xf>
    <xf numFmtId="0" fontId="5" fillId="0" borderId="77" xfId="0" applyFont="1" applyBorder="1" applyAlignment="1">
      <alignment vertical="top" wrapText="1"/>
    </xf>
    <xf numFmtId="0" fontId="5" fillId="0" borderId="74" xfId="0" applyFont="1" applyBorder="1" applyAlignment="1">
      <alignment vertical="top" wrapText="1"/>
    </xf>
    <xf numFmtId="0" fontId="5" fillId="0" borderId="54" xfId="0" applyFont="1" applyBorder="1" applyAlignment="1">
      <alignment vertical="top" wrapText="1"/>
    </xf>
    <xf numFmtId="0" fontId="44" fillId="0" borderId="0" xfId="0" applyFont="1" applyAlignment="1">
      <alignment horizontal="right" vertical="top"/>
    </xf>
    <xf numFmtId="0" fontId="25" fillId="0" borderId="5" xfId="0" applyFont="1" applyBorder="1" applyAlignment="1">
      <alignment vertical="top" wrapText="1"/>
    </xf>
    <xf numFmtId="0" fontId="16" fillId="0" borderId="46" xfId="0" applyFont="1" applyBorder="1" applyAlignment="1">
      <alignment vertical="top" wrapText="1"/>
    </xf>
    <xf numFmtId="0" fontId="25" fillId="0" borderId="46" xfId="0" applyFont="1" applyBorder="1">
      <alignment vertical="top"/>
    </xf>
    <xf numFmtId="0" fontId="5" fillId="0" borderId="46" xfId="0" applyFont="1" applyBorder="1">
      <alignment vertical="top"/>
    </xf>
    <xf numFmtId="0" fontId="5" fillId="0" borderId="34" xfId="0" applyFont="1" applyBorder="1">
      <alignment vertical="top"/>
    </xf>
    <xf numFmtId="0" fontId="6" fillId="0" borderId="0" xfId="0" applyFont="1" applyAlignment="1">
      <alignment horizontal="left" vertical="top"/>
    </xf>
    <xf numFmtId="0" fontId="46" fillId="0" borderId="0" xfId="1" applyFont="1">
      <alignment vertical="top"/>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3" xfId="0" applyFont="1" applyBorder="1" applyAlignment="1">
      <alignment horizontal="center" vertical="top" wrapText="1"/>
    </xf>
    <xf numFmtId="49" fontId="2" fillId="24" borderId="5" xfId="1" applyNumberFormat="1" applyFont="1" applyFill="1" applyBorder="1" applyAlignment="1">
      <alignment horizontal="center" vertical="center" wrapText="1"/>
    </xf>
    <xf numFmtId="49" fontId="18" fillId="24" borderId="36" xfId="1" applyNumberFormat="1" applyFont="1" applyFill="1" applyBorder="1" applyAlignment="1">
      <alignment horizontal="center" vertical="center" wrapText="1"/>
    </xf>
    <xf numFmtId="49" fontId="2" fillId="24" borderId="34" xfId="1" applyNumberFormat="1" applyFont="1" applyFill="1" applyBorder="1" applyAlignment="1">
      <alignment horizontal="center" vertical="center" wrapText="1"/>
    </xf>
    <xf numFmtId="49" fontId="19" fillId="24" borderId="6" xfId="1" applyNumberFormat="1" applyFont="1" applyFill="1" applyBorder="1" applyAlignment="1">
      <alignment vertical="center" wrapText="1"/>
    </xf>
    <xf numFmtId="49" fontId="19" fillId="24" borderId="17" xfId="1" applyNumberFormat="1" applyFont="1" applyFill="1" applyBorder="1" applyAlignment="1">
      <alignment vertical="center" wrapText="1"/>
    </xf>
    <xf numFmtId="49" fontId="10" fillId="0" borderId="5" xfId="1" applyNumberFormat="1" applyBorder="1" applyAlignment="1">
      <alignment vertical="center"/>
    </xf>
    <xf numFmtId="49" fontId="19" fillId="24" borderId="12" xfId="1" applyNumberFormat="1" applyFont="1" applyFill="1" applyBorder="1" applyAlignment="1">
      <alignment vertical="center" wrapText="1"/>
    </xf>
    <xf numFmtId="0" fontId="16" fillId="0" borderId="0" xfId="0" applyFont="1" applyAlignment="1">
      <alignment vertical="center" wrapText="1"/>
    </xf>
    <xf numFmtId="0" fontId="16" fillId="5" borderId="5" xfId="0" applyFont="1" applyFill="1" applyBorder="1" applyAlignment="1">
      <alignment horizontal="center" vertical="center" wrapText="1"/>
    </xf>
    <xf numFmtId="49" fontId="16" fillId="15" borderId="5" xfId="0" applyNumberFormat="1" applyFont="1" applyFill="1" applyBorder="1" applyAlignment="1">
      <alignment horizontal="center" vertical="center" wrapText="1"/>
    </xf>
    <xf numFmtId="1" fontId="16" fillId="5" borderId="42" xfId="0" applyNumberFormat="1" applyFont="1" applyFill="1" applyBorder="1" applyAlignment="1" applyProtection="1">
      <alignment horizontal="center" vertical="center" wrapText="1"/>
      <protection hidden="1"/>
    </xf>
    <xf numFmtId="0" fontId="16" fillId="5" borderId="42" xfId="0" applyFont="1" applyFill="1" applyBorder="1" applyAlignment="1" applyProtection="1">
      <alignment horizontal="center" vertical="center" wrapText="1"/>
      <protection hidden="1"/>
    </xf>
    <xf numFmtId="2" fontId="16" fillId="5" borderId="42" xfId="0" applyNumberFormat="1" applyFont="1" applyFill="1" applyBorder="1" applyAlignment="1">
      <alignment horizontal="center" vertical="center" wrapText="1"/>
    </xf>
    <xf numFmtId="0" fontId="16" fillId="5" borderId="71" xfId="0" applyFont="1" applyFill="1" applyBorder="1" applyAlignment="1">
      <alignment horizontal="center" vertical="center" wrapText="1"/>
    </xf>
    <xf numFmtId="0" fontId="16" fillId="15" borderId="11" xfId="0" applyFont="1" applyFill="1" applyBorder="1" applyAlignment="1">
      <alignment horizontal="center" vertical="center" wrapText="1"/>
    </xf>
    <xf numFmtId="0" fontId="28" fillId="0" borderId="69" xfId="0" applyFont="1" applyBorder="1" applyAlignment="1">
      <alignment vertical="top" wrapText="1"/>
    </xf>
    <xf numFmtId="0" fontId="5" fillId="0" borderId="56" xfId="0" applyFont="1" applyBorder="1" applyAlignment="1">
      <alignment horizontal="center" vertical="top" wrapText="1"/>
    </xf>
    <xf numFmtId="0" fontId="5" fillId="0" borderId="30" xfId="0" applyFont="1" applyBorder="1" applyAlignment="1">
      <alignment vertical="top" wrapText="1"/>
    </xf>
    <xf numFmtId="49" fontId="16" fillId="5" borderId="5" xfId="0" applyNumberFormat="1" applyFont="1" applyFill="1" applyBorder="1" applyAlignment="1">
      <alignment horizontal="center" vertical="center" wrapText="1"/>
    </xf>
    <xf numFmtId="0" fontId="16" fillId="5" borderId="53" xfId="0" applyFont="1" applyFill="1" applyBorder="1" applyAlignment="1">
      <alignment horizontal="center" vertical="center" wrapText="1"/>
    </xf>
    <xf numFmtId="1" fontId="16" fillId="5" borderId="5" xfId="0" applyNumberFormat="1" applyFont="1" applyFill="1" applyBorder="1" applyAlignment="1" applyProtection="1">
      <alignment horizontal="center" vertical="center" wrapText="1"/>
      <protection hidden="1"/>
    </xf>
    <xf numFmtId="0" fontId="16" fillId="5" borderId="53" xfId="0" applyFont="1" applyFill="1" applyBorder="1" applyAlignment="1" applyProtection="1">
      <alignment horizontal="center" vertical="center" wrapText="1"/>
      <protection hidden="1"/>
    </xf>
    <xf numFmtId="2" fontId="16" fillId="5" borderId="5" xfId="0" applyNumberFormat="1" applyFont="1" applyFill="1" applyBorder="1" applyAlignment="1" applyProtection="1">
      <alignment horizontal="center" vertical="center" wrapText="1"/>
      <protection hidden="1"/>
    </xf>
    <xf numFmtId="0" fontId="16" fillId="5" borderId="41" xfId="0" applyFont="1" applyFill="1" applyBorder="1" applyAlignment="1">
      <alignment horizontal="center" vertical="center" wrapText="1"/>
    </xf>
    <xf numFmtId="0" fontId="16" fillId="13" borderId="34" xfId="0" applyFont="1" applyFill="1" applyBorder="1" applyAlignment="1">
      <alignment horizontal="center" vertical="center" wrapText="1"/>
    </xf>
    <xf numFmtId="0" fontId="16" fillId="13" borderId="5" xfId="0" applyFont="1" applyFill="1" applyBorder="1" applyAlignment="1">
      <alignment horizontal="center" vertical="center" wrapText="1"/>
    </xf>
    <xf numFmtId="49" fontId="16" fillId="13" borderId="5" xfId="0" applyNumberFormat="1" applyFont="1" applyFill="1" applyBorder="1" applyAlignment="1">
      <alignment horizontal="center" vertical="center" wrapText="1"/>
    </xf>
    <xf numFmtId="49" fontId="16" fillId="13" borderId="53" xfId="0" applyNumberFormat="1" applyFont="1" applyFill="1" applyBorder="1" applyAlignment="1">
      <alignment horizontal="center" vertical="center" wrapText="1"/>
    </xf>
    <xf numFmtId="1" fontId="16" fillId="13" borderId="5" xfId="0" applyNumberFormat="1" applyFont="1" applyFill="1" applyBorder="1" applyAlignment="1" applyProtection="1">
      <alignment horizontal="center" vertical="center" wrapText="1"/>
      <protection hidden="1"/>
    </xf>
    <xf numFmtId="0" fontId="16" fillId="13" borderId="53" xfId="0" applyFont="1" applyFill="1" applyBorder="1" applyAlignment="1" applyProtection="1">
      <alignment horizontal="center" vertical="center" wrapText="1"/>
      <protection hidden="1"/>
    </xf>
    <xf numFmtId="2" fontId="16" fillId="13" borderId="5" xfId="0" applyNumberFormat="1" applyFont="1" applyFill="1" applyBorder="1" applyAlignment="1" applyProtection="1">
      <alignment horizontal="center" vertical="center" wrapText="1"/>
      <protection hidden="1"/>
    </xf>
    <xf numFmtId="0" fontId="16" fillId="13" borderId="41" xfId="0" applyFont="1" applyFill="1" applyBorder="1" applyAlignment="1">
      <alignment horizontal="center" vertical="center" wrapText="1"/>
    </xf>
    <xf numFmtId="2" fontId="28" fillId="5" borderId="5" xfId="0" applyNumberFormat="1" applyFont="1" applyFill="1" applyBorder="1" applyAlignment="1">
      <alignment horizontal="center" vertical="center" wrapText="1"/>
    </xf>
    <xf numFmtId="2" fontId="28" fillId="7" borderId="5" xfId="0" applyNumberFormat="1" applyFont="1" applyFill="1" applyBorder="1" applyAlignment="1">
      <alignment horizontal="center" vertical="center" wrapText="1"/>
    </xf>
    <xf numFmtId="0" fontId="30" fillId="0" borderId="5" xfId="0" applyFont="1" applyBorder="1" applyAlignment="1" applyProtection="1">
      <alignment horizontal="center" vertical="center"/>
      <protection hidden="1"/>
    </xf>
    <xf numFmtId="0" fontId="5" fillId="0" borderId="42" xfId="0" applyFont="1" applyBorder="1">
      <alignment vertical="top"/>
    </xf>
    <xf numFmtId="0" fontId="16" fillId="5" borderId="34" xfId="0" applyFont="1" applyFill="1" applyBorder="1" applyAlignment="1">
      <alignment horizontal="center" vertical="center" wrapText="1"/>
    </xf>
    <xf numFmtId="49" fontId="16" fillId="5" borderId="41" xfId="0" applyNumberFormat="1" applyFont="1" applyFill="1" applyBorder="1" applyAlignment="1">
      <alignment horizontal="center" vertical="center" wrapText="1"/>
    </xf>
    <xf numFmtId="0" fontId="16" fillId="13" borderId="68" xfId="0" applyFont="1" applyFill="1" applyBorder="1" applyAlignment="1">
      <alignment horizontal="center" vertical="center" wrapText="1"/>
    </xf>
    <xf numFmtId="0" fontId="16" fillId="13" borderId="23" xfId="0" applyFont="1" applyFill="1" applyBorder="1" applyAlignment="1">
      <alignment horizontal="center" vertical="center" wrapText="1"/>
    </xf>
    <xf numFmtId="49" fontId="16" fillId="13" borderId="23" xfId="0" applyNumberFormat="1" applyFont="1" applyFill="1" applyBorder="1" applyAlignment="1">
      <alignment horizontal="center" vertical="center" wrapText="1"/>
    </xf>
    <xf numFmtId="49" fontId="16" fillId="13" borderId="59" xfId="0" applyNumberFormat="1" applyFont="1" applyFill="1" applyBorder="1" applyAlignment="1">
      <alignment horizontal="center" vertical="center" wrapText="1"/>
    </xf>
    <xf numFmtId="1" fontId="16" fillId="13" borderId="23" xfId="0" applyNumberFormat="1" applyFont="1" applyFill="1" applyBorder="1" applyAlignment="1" applyProtection="1">
      <alignment horizontal="center" vertical="center" wrapText="1"/>
      <protection hidden="1"/>
    </xf>
    <xf numFmtId="0" fontId="16" fillId="13" borderId="59" xfId="0" applyFont="1" applyFill="1" applyBorder="1" applyAlignment="1" applyProtection="1">
      <alignment horizontal="center" vertical="center" wrapText="1"/>
      <protection hidden="1"/>
    </xf>
    <xf numFmtId="2" fontId="16" fillId="13" borderId="23" xfId="0" applyNumberFormat="1" applyFont="1" applyFill="1" applyBorder="1" applyAlignment="1" applyProtection="1">
      <alignment horizontal="center" vertical="center" wrapText="1"/>
      <protection hidden="1"/>
    </xf>
    <xf numFmtId="0" fontId="16" fillId="5" borderId="51"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42" xfId="0" applyFont="1" applyFill="1" applyBorder="1" applyAlignment="1">
      <alignment horizontal="center" vertical="center" wrapText="1"/>
    </xf>
    <xf numFmtId="49" fontId="16" fillId="13" borderId="10" xfId="0" applyNumberFormat="1" applyFont="1" applyFill="1" applyBorder="1" applyAlignment="1">
      <alignment horizontal="center" vertical="center" wrapText="1"/>
    </xf>
    <xf numFmtId="49" fontId="16" fillId="13" borderId="42" xfId="0" applyNumberFormat="1" applyFont="1" applyFill="1" applyBorder="1" applyAlignment="1">
      <alignment horizontal="center" vertical="center" wrapText="1"/>
    </xf>
    <xf numFmtId="1" fontId="16" fillId="13" borderId="10" xfId="0" applyNumberFormat="1" applyFont="1" applyFill="1" applyBorder="1" applyAlignment="1" applyProtection="1">
      <alignment horizontal="center" vertical="center" wrapText="1"/>
      <protection hidden="1"/>
    </xf>
    <xf numFmtId="0" fontId="16" fillId="13" borderId="42" xfId="0" applyFont="1" applyFill="1" applyBorder="1" applyAlignment="1" applyProtection="1">
      <alignment horizontal="center" vertical="center" wrapText="1"/>
      <protection hidden="1"/>
    </xf>
    <xf numFmtId="2" fontId="16" fillId="13" borderId="10" xfId="0" applyNumberFormat="1" applyFont="1" applyFill="1" applyBorder="1" applyAlignment="1" applyProtection="1">
      <alignment horizontal="center" vertical="center" wrapText="1"/>
      <protection hidden="1"/>
    </xf>
    <xf numFmtId="0" fontId="16" fillId="15" borderId="5" xfId="0" applyFont="1" applyFill="1" applyBorder="1" applyAlignment="1">
      <alignment vertical="center" wrapText="1"/>
    </xf>
    <xf numFmtId="0" fontId="28" fillId="2" borderId="66" xfId="0" applyFont="1" applyFill="1" applyBorder="1" applyAlignment="1">
      <alignment horizontal="center" vertical="top" wrapText="1"/>
    </xf>
    <xf numFmtId="0" fontId="28" fillId="0" borderId="74" xfId="0" applyFont="1" applyBorder="1" applyAlignment="1">
      <alignment vertical="top" wrapText="1"/>
    </xf>
    <xf numFmtId="0" fontId="28" fillId="0" borderId="77" xfId="0" applyFont="1" applyBorder="1" applyAlignment="1">
      <alignment vertical="top" wrapText="1"/>
    </xf>
    <xf numFmtId="0" fontId="28" fillId="0" borderId="20" xfId="0" applyFont="1" applyBorder="1" applyAlignment="1">
      <alignment vertical="top" wrapText="1"/>
    </xf>
    <xf numFmtId="0" fontId="28" fillId="0" borderId="78" xfId="0" applyFont="1" applyBorder="1" applyAlignment="1">
      <alignment vertical="top" wrapText="1"/>
    </xf>
    <xf numFmtId="0" fontId="28" fillId="2" borderId="54" xfId="0" applyFont="1" applyFill="1" applyBorder="1" applyAlignment="1">
      <alignment horizontal="center" vertical="top" wrapText="1"/>
    </xf>
    <xf numFmtId="0" fontId="28" fillId="0" borderId="9" xfId="0" applyFont="1" applyBorder="1" applyAlignment="1">
      <alignment horizontal="center" vertical="top" wrapText="1"/>
    </xf>
    <xf numFmtId="0" fontId="28" fillId="0" borderId="13" xfId="0" applyFont="1" applyBorder="1" applyAlignment="1">
      <alignment horizontal="center" vertical="top" wrapText="1"/>
    </xf>
    <xf numFmtId="0" fontId="28" fillId="0" borderId="8" xfId="0" applyFont="1" applyBorder="1" applyAlignment="1">
      <alignment horizontal="center" vertical="top" wrapText="1"/>
    </xf>
    <xf numFmtId="1" fontId="28" fillId="0" borderId="17" xfId="0" applyNumberFormat="1" applyFont="1" applyBorder="1" applyAlignment="1">
      <alignment horizontal="left" vertical="top" wrapText="1"/>
    </xf>
    <xf numFmtId="0" fontId="28" fillId="0" borderId="76" xfId="0" applyFont="1" applyBorder="1" applyAlignment="1">
      <alignment vertical="top" wrapText="1"/>
    </xf>
    <xf numFmtId="0" fontId="28" fillId="0" borderId="33" xfId="0" applyFont="1" applyBorder="1" applyAlignment="1">
      <alignment vertical="top" wrapText="1"/>
    </xf>
    <xf numFmtId="0" fontId="28" fillId="0" borderId="75" xfId="0" applyFont="1" applyBorder="1" applyAlignment="1">
      <alignment vertical="top" wrapText="1"/>
    </xf>
    <xf numFmtId="1" fontId="28" fillId="2" borderId="50" xfId="0" applyNumberFormat="1" applyFont="1" applyFill="1" applyBorder="1" applyAlignment="1" applyProtection="1">
      <alignment horizontal="center" vertical="top" wrapText="1"/>
      <protection hidden="1"/>
    </xf>
    <xf numFmtId="1" fontId="28" fillId="2" borderId="54" xfId="0" applyNumberFormat="1" applyFont="1" applyFill="1" applyBorder="1" applyAlignment="1" applyProtection="1">
      <alignment horizontal="center" vertical="top" wrapText="1"/>
      <protection hidden="1"/>
    </xf>
    <xf numFmtId="0" fontId="5" fillId="0" borderId="5" xfId="0" applyFont="1" applyBorder="1">
      <alignment vertical="top"/>
    </xf>
    <xf numFmtId="0" fontId="16" fillId="15" borderId="5" xfId="0" applyFont="1" applyFill="1" applyBorder="1" applyAlignment="1">
      <alignment horizontal="center" vertical="center" wrapText="1"/>
    </xf>
    <xf numFmtId="1" fontId="28" fillId="2" borderId="66" xfId="0" applyNumberFormat="1" applyFont="1" applyFill="1" applyBorder="1" applyAlignment="1">
      <alignment horizontal="center" vertical="top" wrapText="1"/>
    </xf>
    <xf numFmtId="0" fontId="28" fillId="0" borderId="73" xfId="0" applyFont="1" applyBorder="1" applyAlignment="1">
      <alignment horizontal="left" vertical="top" wrapText="1"/>
    </xf>
    <xf numFmtId="1" fontId="28" fillId="0" borderId="7" xfId="0" applyNumberFormat="1" applyFont="1" applyBorder="1" applyAlignment="1">
      <alignment horizontal="center" vertical="top" wrapText="1"/>
    </xf>
    <xf numFmtId="0" fontId="28" fillId="0" borderId="17" xfId="0" applyFont="1" applyBorder="1" applyAlignment="1">
      <alignment horizontal="center" vertical="top" wrapText="1"/>
    </xf>
    <xf numFmtId="0" fontId="5" fillId="0" borderId="11" xfId="0" applyFont="1" applyBorder="1" applyAlignment="1">
      <alignment horizontal="center" vertical="top" wrapText="1"/>
    </xf>
    <xf numFmtId="0" fontId="5" fillId="0" borderId="76" xfId="0" applyFont="1" applyBorder="1" applyAlignment="1">
      <alignment vertical="top" wrapText="1"/>
    </xf>
    <xf numFmtId="2" fontId="5" fillId="7" borderId="23" xfId="0" applyNumberFormat="1" applyFont="1" applyFill="1" applyBorder="1" applyAlignment="1">
      <alignment horizontal="center" vertical="top" wrapText="1"/>
    </xf>
    <xf numFmtId="0" fontId="5" fillId="0" borderId="10" xfId="0" applyFont="1" applyBorder="1" applyAlignment="1">
      <alignment horizontal="left" vertical="top" wrapText="1"/>
    </xf>
    <xf numFmtId="1" fontId="16" fillId="5" borderId="53" xfId="0" applyNumberFormat="1" applyFont="1" applyFill="1" applyBorder="1" applyAlignment="1" applyProtection="1">
      <alignment horizontal="center" vertical="center" wrapText="1"/>
      <protection hidden="1"/>
    </xf>
    <xf numFmtId="0" fontId="16" fillId="5" borderId="5" xfId="0" applyFont="1" applyFill="1" applyBorder="1" applyAlignment="1" applyProtection="1">
      <alignment horizontal="center" vertical="center" wrapText="1"/>
      <protection hidden="1"/>
    </xf>
    <xf numFmtId="2" fontId="16" fillId="5" borderId="53" xfId="0" applyNumberFormat="1" applyFont="1" applyFill="1" applyBorder="1" applyAlignment="1" applyProtection="1">
      <alignment horizontal="center" vertical="center" wrapText="1"/>
      <protection hidden="1"/>
    </xf>
    <xf numFmtId="2" fontId="5" fillId="0" borderId="41" xfId="0" applyNumberFormat="1" applyFont="1" applyBorder="1" applyAlignment="1">
      <alignment horizontal="left" vertical="top" wrapText="1"/>
    </xf>
    <xf numFmtId="2" fontId="5" fillId="0" borderId="12" xfId="0" applyNumberFormat="1" applyFont="1" applyBorder="1" applyAlignment="1">
      <alignment horizontal="left" vertical="top" wrapText="1"/>
    </xf>
    <xf numFmtId="2" fontId="5" fillId="0" borderId="6" xfId="0" applyNumberFormat="1" applyFont="1" applyBorder="1" applyAlignment="1">
      <alignment horizontal="left" vertical="top" wrapText="1"/>
    </xf>
    <xf numFmtId="2" fontId="5" fillId="0" borderId="50" xfId="0" applyNumberFormat="1" applyFont="1" applyBorder="1" applyAlignment="1">
      <alignment horizontal="left" vertical="top" wrapText="1"/>
    </xf>
    <xf numFmtId="49" fontId="5" fillId="0" borderId="34" xfId="0" applyNumberFormat="1" applyFont="1" applyBorder="1" applyAlignment="1">
      <alignment horizontal="left" vertical="top" wrapText="1"/>
    </xf>
    <xf numFmtId="1" fontId="5" fillId="0" borderId="60" xfId="0" applyNumberFormat="1" applyFont="1" applyBorder="1" applyAlignment="1">
      <alignment horizontal="left" vertical="top" wrapText="1"/>
    </xf>
    <xf numFmtId="1" fontId="5" fillId="0" borderId="54" xfId="0" applyNumberFormat="1" applyFont="1" applyBorder="1" applyAlignment="1">
      <alignment horizontal="left" vertical="top" wrapText="1"/>
    </xf>
    <xf numFmtId="2" fontId="5" fillId="5" borderId="34" xfId="0" applyNumberFormat="1" applyFont="1" applyFill="1" applyBorder="1" applyAlignment="1">
      <alignment horizontal="center" vertical="center" wrapText="1"/>
    </xf>
    <xf numFmtId="0" fontId="13" fillId="0" borderId="5" xfId="0" applyFont="1" applyBorder="1" applyAlignment="1">
      <alignment horizontal="center" vertical="center"/>
    </xf>
    <xf numFmtId="2" fontId="5" fillId="6" borderId="39" xfId="0" applyNumberFormat="1" applyFont="1" applyFill="1" applyBorder="1" applyAlignment="1">
      <alignment horizontal="center" vertical="center" wrapText="1"/>
    </xf>
    <xf numFmtId="2" fontId="5" fillId="6" borderId="1" xfId="0" applyNumberFormat="1" applyFont="1" applyFill="1" applyBorder="1" applyAlignment="1">
      <alignment horizontal="center" vertical="center" wrapText="1"/>
    </xf>
    <xf numFmtId="2" fontId="5" fillId="6" borderId="47" xfId="0" applyNumberFormat="1" applyFont="1" applyFill="1" applyBorder="1" applyAlignment="1">
      <alignment horizontal="center" vertical="center" wrapText="1"/>
    </xf>
    <xf numFmtId="2" fontId="5" fillId="5" borderId="5" xfId="0" applyNumberFormat="1" applyFont="1" applyFill="1" applyBorder="1" applyAlignment="1">
      <alignment horizontal="center" vertical="center" wrapText="1"/>
    </xf>
    <xf numFmtId="2" fontId="5" fillId="10" borderId="14" xfId="0" applyNumberFormat="1" applyFont="1" applyFill="1" applyBorder="1" applyAlignment="1">
      <alignment horizontal="center" vertical="center" wrapText="1"/>
    </xf>
    <xf numFmtId="2" fontId="5" fillId="9" borderId="5" xfId="0" applyNumberFormat="1" applyFont="1" applyFill="1" applyBorder="1" applyAlignment="1">
      <alignment horizontal="center" vertical="center" wrapText="1"/>
    </xf>
    <xf numFmtId="2" fontId="28" fillId="6" borderId="47" xfId="0" applyNumberFormat="1" applyFont="1" applyFill="1" applyBorder="1" applyAlignment="1">
      <alignment horizontal="center" vertical="center" wrapText="1"/>
    </xf>
    <xf numFmtId="2" fontId="28" fillId="5" borderId="34" xfId="0" applyNumberFormat="1" applyFont="1" applyFill="1" applyBorder="1" applyAlignment="1">
      <alignment horizontal="center" vertical="center"/>
    </xf>
    <xf numFmtId="2" fontId="28" fillId="7" borderId="34" xfId="0" applyNumberFormat="1" applyFont="1" applyFill="1" applyBorder="1" applyAlignment="1">
      <alignment horizontal="center" vertical="center" wrapText="1"/>
    </xf>
    <xf numFmtId="2" fontId="5" fillId="5" borderId="5" xfId="0" applyNumberFormat="1" applyFont="1" applyFill="1" applyBorder="1" applyAlignment="1">
      <alignment horizontal="center" vertical="center"/>
    </xf>
    <xf numFmtId="2" fontId="5" fillId="7" borderId="5" xfId="0" applyNumberFormat="1" applyFont="1" applyFill="1" applyBorder="1" applyAlignment="1">
      <alignment horizontal="center" vertical="center"/>
    </xf>
    <xf numFmtId="1" fontId="16" fillId="13" borderId="59" xfId="0" applyNumberFormat="1" applyFont="1" applyFill="1" applyBorder="1" applyAlignment="1" applyProtection="1">
      <alignment horizontal="center" vertical="center" wrapText="1"/>
      <protection hidden="1"/>
    </xf>
    <xf numFmtId="0" fontId="16" fillId="13" borderId="5" xfId="0" applyFont="1" applyFill="1" applyBorder="1" applyAlignment="1" applyProtection="1">
      <alignment horizontal="center" vertical="center" wrapText="1"/>
      <protection hidden="1"/>
    </xf>
    <xf numFmtId="2" fontId="16" fillId="13" borderId="59" xfId="0" applyNumberFormat="1" applyFont="1" applyFill="1" applyBorder="1" applyAlignment="1" applyProtection="1">
      <alignment horizontal="center" vertical="center" wrapText="1"/>
      <protection hidden="1"/>
    </xf>
    <xf numFmtId="2" fontId="5" fillId="5" borderId="42" xfId="0" applyNumberFormat="1" applyFont="1" applyFill="1" applyBorder="1" applyAlignment="1">
      <alignment horizontal="center" vertical="top"/>
    </xf>
    <xf numFmtId="0" fontId="16" fillId="13" borderId="5" xfId="0" applyFont="1" applyFill="1" applyBorder="1" applyAlignment="1">
      <alignment horizontal="center" vertical="center"/>
    </xf>
    <xf numFmtId="2" fontId="5" fillId="6" borderId="39" xfId="0" applyNumberFormat="1" applyFont="1" applyFill="1" applyBorder="1" applyAlignment="1">
      <alignment horizontal="center" vertical="center"/>
    </xf>
    <xf numFmtId="2" fontId="5" fillId="6" borderId="1" xfId="0" applyNumberFormat="1" applyFont="1" applyFill="1" applyBorder="1" applyAlignment="1">
      <alignment horizontal="center" vertical="center"/>
    </xf>
    <xf numFmtId="2" fontId="5" fillId="6" borderId="47" xfId="0" applyNumberFormat="1" applyFont="1" applyFill="1" applyBorder="1" applyAlignment="1">
      <alignment horizontal="center" vertical="center"/>
    </xf>
    <xf numFmtId="0" fontId="5" fillId="0" borderId="58" xfId="0" applyFont="1" applyBorder="1" applyAlignment="1">
      <alignment horizontal="center" vertical="top" wrapText="1"/>
    </xf>
    <xf numFmtId="0" fontId="16" fillId="5" borderId="53" xfId="0" applyFont="1" applyFill="1" applyBorder="1" applyAlignment="1" applyProtection="1">
      <alignment horizontal="center" vertical="top" wrapText="1"/>
      <protection hidden="1"/>
    </xf>
    <xf numFmtId="0" fontId="5" fillId="0" borderId="15" xfId="0" applyFont="1" applyBorder="1" applyAlignment="1">
      <alignment vertical="top" wrapText="1"/>
    </xf>
    <xf numFmtId="0" fontId="5" fillId="0" borderId="74" xfId="0" applyFont="1" applyBorder="1" applyAlignment="1">
      <alignment horizontal="left" vertical="top" wrapText="1"/>
    </xf>
    <xf numFmtId="0" fontId="26" fillId="0" borderId="64" xfId="0" applyFont="1" applyBorder="1" applyAlignment="1">
      <alignment vertical="top" wrapText="1"/>
    </xf>
    <xf numFmtId="0" fontId="23" fillId="0" borderId="46" xfId="0" applyFont="1" applyBorder="1" applyAlignment="1">
      <alignment vertical="top" wrapText="1"/>
    </xf>
    <xf numFmtId="0" fontId="26" fillId="0" borderId="18" xfId="0" applyFont="1" applyBorder="1" applyAlignment="1">
      <alignment vertical="top" wrapText="1"/>
    </xf>
    <xf numFmtId="1" fontId="5" fillId="0" borderId="58" xfId="0" applyNumberFormat="1" applyFont="1" applyBorder="1" applyAlignment="1">
      <alignment horizontal="center" vertical="top" wrapText="1"/>
    </xf>
    <xf numFmtId="0" fontId="16" fillId="13" borderId="42" xfId="0" applyFont="1" applyFill="1" applyBorder="1" applyAlignment="1">
      <alignment horizontal="center" vertical="center"/>
    </xf>
    <xf numFmtId="1" fontId="16" fillId="13" borderId="53" xfId="0" applyNumberFormat="1" applyFont="1" applyFill="1" applyBorder="1" applyAlignment="1" applyProtection="1">
      <alignment horizontal="center" vertical="center" wrapText="1"/>
      <protection hidden="1"/>
    </xf>
    <xf numFmtId="2" fontId="16" fillId="13" borderId="53" xfId="0" applyNumberFormat="1" applyFont="1" applyFill="1" applyBorder="1" applyAlignment="1" applyProtection="1">
      <alignment horizontal="center" vertical="center" wrapText="1"/>
      <protection hidden="1"/>
    </xf>
    <xf numFmtId="0" fontId="5" fillId="2" borderId="66" xfId="0" applyFont="1" applyFill="1" applyBorder="1" applyAlignment="1">
      <alignment horizontal="center" vertical="top" wrapText="1"/>
    </xf>
    <xf numFmtId="0" fontId="5" fillId="2" borderId="54" xfId="0" applyFont="1" applyFill="1" applyBorder="1" applyAlignment="1">
      <alignment horizontal="center" vertical="top" wrapText="1"/>
    </xf>
    <xf numFmtId="0" fontId="5" fillId="0" borderId="75" xfId="0" applyFont="1" applyBorder="1" applyAlignment="1">
      <alignment vertical="top" wrapText="1"/>
    </xf>
    <xf numFmtId="2" fontId="5" fillId="0" borderId="56" xfId="0" applyNumberFormat="1" applyFont="1" applyBorder="1" applyAlignment="1">
      <alignment horizontal="right" vertical="center" wrapText="1"/>
    </xf>
    <xf numFmtId="1" fontId="5" fillId="0" borderId="15" xfId="0" applyNumberFormat="1" applyFont="1" applyBorder="1" applyAlignment="1">
      <alignment horizontal="left" vertical="top" wrapText="1"/>
    </xf>
    <xf numFmtId="2" fontId="5" fillId="7" borderId="64" xfId="0" applyNumberFormat="1" applyFont="1" applyFill="1" applyBorder="1" applyAlignment="1">
      <alignment horizontal="center" vertical="top"/>
    </xf>
    <xf numFmtId="49" fontId="5" fillId="0" borderId="5" xfId="0" applyNumberFormat="1" applyFont="1" applyBorder="1" applyAlignment="1">
      <alignment vertical="top" wrapText="1"/>
    </xf>
    <xf numFmtId="49" fontId="5" fillId="0" borderId="45" xfId="0" applyNumberFormat="1" applyFont="1" applyBorder="1" applyAlignment="1">
      <alignment horizontal="left" vertical="top" wrapText="1"/>
    </xf>
    <xf numFmtId="0" fontId="5" fillId="14" borderId="61" xfId="0" applyFont="1" applyFill="1" applyBorder="1" applyAlignment="1">
      <alignment horizontal="center" vertical="top" wrapText="1"/>
    </xf>
    <xf numFmtId="1" fontId="5" fillId="14" borderId="44" xfId="0" applyNumberFormat="1" applyFont="1" applyFill="1" applyBorder="1" applyAlignment="1">
      <alignment horizontal="center" vertical="top"/>
    </xf>
    <xf numFmtId="1" fontId="5" fillId="14" borderId="61" xfId="0" applyNumberFormat="1" applyFont="1" applyFill="1" applyBorder="1" applyAlignment="1">
      <alignment horizontal="center" vertical="top"/>
    </xf>
    <xf numFmtId="1" fontId="5" fillId="2" borderId="54" xfId="0" applyNumberFormat="1" applyFont="1" applyFill="1" applyBorder="1" applyAlignment="1">
      <alignment horizontal="center" vertical="top"/>
    </xf>
    <xf numFmtId="0" fontId="16" fillId="13" borderId="64" xfId="0" applyFont="1" applyFill="1" applyBorder="1" applyAlignment="1">
      <alignment horizontal="center" vertical="center" wrapText="1"/>
    </xf>
    <xf numFmtId="0" fontId="16" fillId="13" borderId="46" xfId="0" applyFont="1" applyFill="1" applyBorder="1" applyAlignment="1">
      <alignment horizontal="center" vertical="center" wrapText="1"/>
    </xf>
    <xf numFmtId="49" fontId="16" fillId="13" borderId="0" xfId="0" applyNumberFormat="1" applyFont="1" applyFill="1" applyAlignment="1">
      <alignment horizontal="center" vertical="center" wrapText="1"/>
    </xf>
    <xf numFmtId="0" fontId="39" fillId="0" borderId="47" xfId="0" applyFont="1" applyBorder="1" applyAlignment="1">
      <alignment horizontal="center" vertical="top" wrapText="1"/>
    </xf>
    <xf numFmtId="0" fontId="39" fillId="0" borderId="6" xfId="0" applyFont="1" applyBorder="1" applyAlignment="1">
      <alignment horizontal="left" vertical="center" wrapText="1"/>
    </xf>
    <xf numFmtId="0" fontId="39" fillId="0" borderId="10" xfId="0" applyFont="1" applyBorder="1" applyAlignment="1">
      <alignment horizontal="left" vertical="center" wrapText="1"/>
    </xf>
    <xf numFmtId="0" fontId="39" fillId="0" borderId="12" xfId="0" applyFont="1" applyBorder="1" applyAlignment="1">
      <alignment horizontal="left" vertical="center" wrapText="1"/>
    </xf>
    <xf numFmtId="0" fontId="5" fillId="0" borderId="43" xfId="0" applyFont="1" applyBorder="1" applyAlignment="1">
      <alignment horizontal="left" vertical="top" wrapText="1"/>
    </xf>
    <xf numFmtId="1" fontId="26" fillId="0" borderId="0" xfId="0" applyNumberFormat="1" applyFont="1" applyAlignment="1">
      <alignment horizontal="left" vertical="top" wrapText="1"/>
    </xf>
    <xf numFmtId="1" fontId="26" fillId="0" borderId="13" xfId="0" applyNumberFormat="1" applyFont="1" applyBorder="1" applyAlignment="1">
      <alignment horizontal="center" vertical="top" wrapText="1"/>
    </xf>
    <xf numFmtId="2" fontId="5" fillId="0" borderId="41" xfId="0" applyNumberFormat="1" applyFont="1" applyBorder="1" applyAlignment="1">
      <alignment vertical="top" wrapText="1"/>
    </xf>
    <xf numFmtId="1" fontId="16" fillId="5" borderId="51" xfId="0" applyNumberFormat="1" applyFont="1" applyFill="1" applyBorder="1" applyAlignment="1">
      <alignment horizontal="center" vertical="center" wrapText="1"/>
    </xf>
    <xf numFmtId="0" fontId="25" fillId="0" borderId="0" xfId="0" applyFont="1" applyAlignment="1">
      <alignment wrapText="1"/>
    </xf>
    <xf numFmtId="1" fontId="16" fillId="13" borderId="5" xfId="0" applyNumberFormat="1" applyFont="1" applyFill="1" applyBorder="1" applyAlignment="1">
      <alignment horizontal="center" vertical="center" wrapText="1"/>
    </xf>
    <xf numFmtId="0" fontId="25" fillId="0" borderId="0" xfId="0" applyFont="1" applyAlignment="1"/>
    <xf numFmtId="1" fontId="5" fillId="6" borderId="26" xfId="0" applyNumberFormat="1" applyFont="1" applyFill="1" applyBorder="1" applyAlignment="1">
      <alignment vertical="center"/>
    </xf>
    <xf numFmtId="0" fontId="16" fillId="13" borderId="23" xfId="0" applyFont="1" applyFill="1" applyBorder="1" applyAlignment="1">
      <alignment horizontal="center" vertical="center"/>
    </xf>
    <xf numFmtId="2" fontId="26" fillId="5" borderId="5" xfId="0" applyNumberFormat="1" applyFont="1" applyFill="1" applyBorder="1" applyAlignment="1">
      <alignment horizontal="center" vertical="center"/>
    </xf>
    <xf numFmtId="2" fontId="5" fillId="0" borderId="54" xfId="0" applyNumberFormat="1" applyFont="1" applyBorder="1" applyAlignment="1">
      <alignment vertical="top" wrapText="1"/>
    </xf>
    <xf numFmtId="2" fontId="5" fillId="0" borderId="74" xfId="0" applyNumberFormat="1" applyFont="1" applyBorder="1" applyAlignment="1">
      <alignment vertical="top" wrapText="1"/>
    </xf>
    <xf numFmtId="2" fontId="5" fillId="0" borderId="60" xfId="0" applyNumberFormat="1" applyFont="1" applyBorder="1" applyAlignment="1">
      <alignment vertical="top" wrapText="1"/>
    </xf>
    <xf numFmtId="2" fontId="5" fillId="0" borderId="77" xfId="0" applyNumberFormat="1" applyFont="1" applyBorder="1" applyAlignment="1">
      <alignment vertical="top" wrapText="1"/>
    </xf>
    <xf numFmtId="2" fontId="23" fillId="6" borderId="39" xfId="0" applyNumberFormat="1" applyFont="1" applyFill="1" applyBorder="1" applyAlignment="1">
      <alignment horizontal="center" vertical="center" wrapText="1"/>
    </xf>
    <xf numFmtId="2" fontId="23" fillId="6" borderId="1" xfId="0" applyNumberFormat="1" applyFont="1" applyFill="1" applyBorder="1" applyAlignment="1">
      <alignment horizontal="center" vertical="center" wrapText="1"/>
    </xf>
    <xf numFmtId="2" fontId="23" fillId="6" borderId="1" xfId="0" applyNumberFormat="1" applyFont="1" applyFill="1" applyBorder="1" applyAlignment="1">
      <alignment horizontal="center" vertical="center"/>
    </xf>
    <xf numFmtId="2" fontId="23" fillId="6" borderId="47" xfId="0" applyNumberFormat="1" applyFont="1" applyFill="1" applyBorder="1" applyAlignment="1">
      <alignment horizontal="center" vertical="center"/>
    </xf>
    <xf numFmtId="2" fontId="23" fillId="5" borderId="5" xfId="0" applyNumberFormat="1" applyFont="1" applyFill="1" applyBorder="1" applyAlignment="1">
      <alignment horizontal="center" vertical="center" wrapText="1"/>
    </xf>
    <xf numFmtId="2" fontId="23" fillId="7" borderId="5" xfId="0" applyNumberFormat="1" applyFont="1" applyFill="1" applyBorder="1" applyAlignment="1">
      <alignment horizontal="center" vertical="center"/>
    </xf>
    <xf numFmtId="2" fontId="23" fillId="5" borderId="64" xfId="0" applyNumberFormat="1" applyFont="1" applyFill="1" applyBorder="1" applyAlignment="1">
      <alignment horizontal="center" vertical="top" wrapText="1"/>
    </xf>
    <xf numFmtId="2" fontId="23" fillId="2" borderId="13" xfId="0" applyNumberFormat="1" applyFont="1" applyFill="1" applyBorder="1" applyAlignment="1">
      <alignment horizontal="center" vertical="top" wrapText="1"/>
    </xf>
    <xf numFmtId="2" fontId="23" fillId="5" borderId="68" xfId="0" applyNumberFormat="1" applyFont="1" applyFill="1" applyBorder="1" applyAlignment="1">
      <alignment horizontal="center" vertical="top" wrapText="1"/>
    </xf>
    <xf numFmtId="2" fontId="23" fillId="7" borderId="64" xfId="0" applyNumberFormat="1" applyFont="1" applyFill="1" applyBorder="1" applyAlignment="1">
      <alignment horizontal="center" vertical="top"/>
    </xf>
    <xf numFmtId="2" fontId="23" fillId="7" borderId="34" xfId="0" applyNumberFormat="1" applyFont="1" applyFill="1" applyBorder="1" applyAlignment="1">
      <alignment horizontal="center" vertical="top"/>
    </xf>
    <xf numFmtId="0" fontId="23" fillId="0" borderId="41" xfId="0" applyFont="1" applyBorder="1" applyAlignment="1">
      <alignment horizontal="left" vertical="top" wrapText="1"/>
    </xf>
    <xf numFmtId="0" fontId="23" fillId="0" borderId="12" xfId="0" applyFont="1" applyBorder="1" applyAlignment="1">
      <alignment horizontal="left" vertical="top" wrapText="1"/>
    </xf>
    <xf numFmtId="0" fontId="23" fillId="0" borderId="5" xfId="0" applyFont="1" applyBorder="1" applyAlignment="1">
      <alignment horizontal="left" vertical="top" wrapText="1"/>
    </xf>
    <xf numFmtId="49" fontId="16" fillId="13" borderId="34" xfId="0" applyNumberFormat="1" applyFont="1" applyFill="1" applyBorder="1" applyAlignment="1">
      <alignment horizontal="center" vertical="center" wrapText="1"/>
    </xf>
    <xf numFmtId="1" fontId="23" fillId="2" borderId="7" xfId="0" applyNumberFormat="1" applyFont="1" applyFill="1" applyBorder="1" applyAlignment="1">
      <alignment horizontal="center" vertical="top"/>
    </xf>
    <xf numFmtId="1" fontId="22" fillId="2" borderId="44" xfId="0" applyNumberFormat="1" applyFont="1" applyFill="1" applyBorder="1" applyAlignment="1">
      <alignment horizontal="center" vertical="top" wrapText="1"/>
    </xf>
    <xf numFmtId="1" fontId="22" fillId="2" borderId="44" xfId="0" applyNumberFormat="1" applyFont="1" applyFill="1" applyBorder="1" applyAlignment="1">
      <alignment horizontal="center" vertical="top"/>
    </xf>
    <xf numFmtId="1" fontId="26" fillId="2" borderId="59" xfId="0" applyNumberFormat="1" applyFont="1" applyFill="1" applyBorder="1" applyAlignment="1">
      <alignment horizontal="center" vertical="top" wrapText="1"/>
    </xf>
    <xf numFmtId="2" fontId="26" fillId="15" borderId="34" xfId="0" applyNumberFormat="1" applyFont="1" applyFill="1" applyBorder="1" applyAlignment="1">
      <alignment horizontal="center" vertical="top" wrapText="1"/>
    </xf>
    <xf numFmtId="0" fontId="39" fillId="0" borderId="12" xfId="0" applyFont="1" applyBorder="1" applyAlignment="1">
      <alignment horizontal="left" vertical="top" wrapText="1"/>
    </xf>
    <xf numFmtId="0" fontId="39" fillId="0" borderId="6" xfId="0" applyFont="1" applyBorder="1" applyAlignment="1">
      <alignment horizontal="left" vertical="top" wrapText="1"/>
    </xf>
    <xf numFmtId="2" fontId="26" fillId="0" borderId="45" xfId="0" applyNumberFormat="1" applyFont="1" applyBorder="1" applyAlignment="1">
      <alignment horizontal="right" vertical="top" wrapText="1"/>
    </xf>
    <xf numFmtId="0" fontId="16" fillId="5" borderId="68" xfId="0" applyFont="1" applyFill="1" applyBorder="1" applyAlignment="1">
      <alignment horizontal="center" vertical="center" wrapText="1"/>
    </xf>
    <xf numFmtId="0" fontId="16" fillId="5" borderId="23" xfId="0" applyFont="1" applyFill="1" applyBorder="1" applyAlignment="1">
      <alignment horizontal="center" vertical="center" wrapText="1"/>
    </xf>
    <xf numFmtId="2" fontId="16" fillId="5" borderId="41" xfId="0" applyNumberFormat="1" applyFont="1" applyFill="1" applyBorder="1" applyAlignment="1" applyProtection="1">
      <alignment horizontal="center" vertical="center" wrapText="1"/>
      <protection hidden="1"/>
    </xf>
    <xf numFmtId="1" fontId="5" fillId="0" borderId="59" xfId="0" applyNumberFormat="1" applyFont="1" applyBorder="1" applyAlignment="1">
      <alignment vertical="top" wrapText="1"/>
    </xf>
    <xf numFmtId="2" fontId="26" fillId="6" borderId="39" xfId="0" applyNumberFormat="1" applyFont="1" applyFill="1" applyBorder="1" applyAlignment="1">
      <alignment horizontal="center" vertical="center" wrapText="1"/>
    </xf>
    <xf numFmtId="2" fontId="26" fillId="6" borderId="1" xfId="0" applyNumberFormat="1" applyFont="1" applyFill="1" applyBorder="1" applyAlignment="1">
      <alignment horizontal="center" vertical="center" wrapText="1"/>
    </xf>
    <xf numFmtId="2" fontId="26" fillId="6" borderId="47" xfId="0" applyNumberFormat="1" applyFont="1" applyFill="1" applyBorder="1" applyAlignment="1">
      <alignment horizontal="center" vertical="center" wrapText="1"/>
    </xf>
    <xf numFmtId="2" fontId="26" fillId="5" borderId="5" xfId="0" applyNumberFormat="1" applyFont="1" applyFill="1" applyBorder="1" applyAlignment="1">
      <alignment horizontal="center" vertical="center" wrapText="1"/>
    </xf>
    <xf numFmtId="2" fontId="26" fillId="7" borderId="5" xfId="0" applyNumberFormat="1" applyFont="1" applyFill="1" applyBorder="1" applyAlignment="1">
      <alignment horizontal="center" vertical="center" wrapText="1"/>
    </xf>
    <xf numFmtId="0" fontId="16" fillId="13" borderId="23" xfId="0" applyFont="1" applyFill="1" applyBorder="1" applyAlignment="1" applyProtection="1">
      <alignment horizontal="center" vertical="center" wrapText="1"/>
      <protection hidden="1"/>
    </xf>
    <xf numFmtId="0" fontId="16" fillId="0" borderId="0" xfId="0" applyFont="1" applyAlignment="1">
      <alignment wrapText="1"/>
    </xf>
    <xf numFmtId="2" fontId="5" fillId="7" borderId="5" xfId="0" applyNumberFormat="1" applyFont="1" applyFill="1" applyBorder="1" applyAlignment="1">
      <alignment horizontal="center" vertical="center" wrapText="1"/>
    </xf>
    <xf numFmtId="0" fontId="16" fillId="13" borderId="5" xfId="0" applyFont="1" applyFill="1" applyBorder="1" applyAlignment="1">
      <alignment vertical="center" wrapText="1"/>
    </xf>
    <xf numFmtId="0" fontId="5" fillId="6" borderId="1" xfId="0" applyFont="1" applyFill="1" applyBorder="1" applyAlignment="1">
      <alignment vertical="center" wrapText="1"/>
    </xf>
    <xf numFmtId="49" fontId="13" fillId="0" borderId="5" xfId="0" applyNumberFormat="1" applyFont="1" applyBorder="1" applyAlignment="1">
      <alignment horizontal="center" vertical="center" wrapText="1"/>
    </xf>
    <xf numFmtId="0" fontId="5" fillId="0" borderId="19" xfId="0" applyFont="1" applyBorder="1" applyAlignment="1">
      <alignment vertical="top" wrapText="1"/>
    </xf>
    <xf numFmtId="0" fontId="13" fillId="0" borderId="5" xfId="0" applyFont="1" applyBorder="1" applyAlignment="1">
      <alignment horizontal="center" vertical="center" wrapText="1"/>
    </xf>
    <xf numFmtId="2" fontId="5" fillId="8" borderId="5" xfId="0" applyNumberFormat="1" applyFont="1" applyFill="1" applyBorder="1" applyAlignment="1">
      <alignment horizontal="center" vertical="center" wrapText="1"/>
    </xf>
    <xf numFmtId="0" fontId="16" fillId="8" borderId="5" xfId="0" applyFont="1" applyFill="1" applyBorder="1" applyAlignment="1">
      <alignment horizontal="center" vertical="center" wrapText="1"/>
    </xf>
    <xf numFmtId="49" fontId="16" fillId="20" borderId="53" xfId="0" applyNumberFormat="1" applyFont="1" applyFill="1" applyBorder="1" applyAlignment="1">
      <alignment horizontal="center" vertical="center" wrapText="1"/>
    </xf>
    <xf numFmtId="1" fontId="16" fillId="8" borderId="5" xfId="0" applyNumberFormat="1" applyFont="1" applyFill="1" applyBorder="1" applyAlignment="1">
      <alignment horizontal="center" vertical="center" wrapText="1"/>
    </xf>
    <xf numFmtId="1" fontId="16" fillId="8" borderId="53" xfId="0" applyNumberFormat="1" applyFont="1" applyFill="1" applyBorder="1" applyAlignment="1">
      <alignment horizontal="center" vertical="center" wrapText="1"/>
    </xf>
    <xf numFmtId="0" fontId="5" fillId="0" borderId="17" xfId="0" applyFont="1" applyBorder="1" applyAlignment="1">
      <alignment horizontal="center" vertical="top" wrapText="1"/>
    </xf>
    <xf numFmtId="49" fontId="16" fillId="8" borderId="5" xfId="0" applyNumberFormat="1" applyFont="1" applyFill="1" applyBorder="1" applyAlignment="1">
      <alignment horizontal="center" vertical="center" wrapText="1"/>
    </xf>
    <xf numFmtId="0" fontId="5" fillId="0" borderId="66" xfId="0" applyFont="1" applyBorder="1" applyAlignment="1">
      <alignment vertical="top" wrapText="1"/>
    </xf>
    <xf numFmtId="2" fontId="5" fillId="8" borderId="34" xfId="0" applyNumberFormat="1" applyFont="1" applyFill="1" applyBorder="1" applyAlignment="1">
      <alignment horizontal="center" vertical="top" wrapText="1"/>
    </xf>
    <xf numFmtId="0" fontId="5" fillId="6" borderId="39" xfId="0" applyFont="1" applyFill="1" applyBorder="1" applyAlignment="1">
      <alignment vertical="center" wrapText="1"/>
    </xf>
    <xf numFmtId="0" fontId="5" fillId="0" borderId="55" xfId="0" applyFont="1" applyBorder="1" applyAlignment="1">
      <alignment vertical="center" wrapText="1"/>
    </xf>
    <xf numFmtId="0" fontId="5" fillId="0" borderId="27" xfId="0" applyFont="1" applyBorder="1" applyAlignment="1">
      <alignment vertical="center" wrapText="1"/>
    </xf>
    <xf numFmtId="0" fontId="5" fillId="6" borderId="47" xfId="0" applyFont="1" applyFill="1" applyBorder="1" applyAlignment="1">
      <alignment vertical="center" wrapText="1"/>
    </xf>
    <xf numFmtId="0" fontId="5" fillId="0" borderId="40" xfId="0" applyFont="1" applyBorder="1" applyAlignment="1">
      <alignment vertical="center" wrapText="1"/>
    </xf>
    <xf numFmtId="0" fontId="5" fillId="25" borderId="1" xfId="0" applyFont="1" applyFill="1" applyBorder="1" applyAlignment="1">
      <alignment vertical="center" wrapText="1"/>
    </xf>
    <xf numFmtId="0" fontId="5" fillId="25" borderId="47" xfId="0" applyFont="1" applyFill="1" applyBorder="1" applyAlignment="1">
      <alignment vertical="center" wrapText="1"/>
    </xf>
    <xf numFmtId="2" fontId="28" fillId="6" borderId="1" xfId="0" applyNumberFormat="1" applyFont="1" applyFill="1" applyBorder="1" applyAlignment="1">
      <alignment horizontal="center" vertical="center" wrapText="1"/>
    </xf>
    <xf numFmtId="2" fontId="28" fillId="6" borderId="39" xfId="0" applyNumberFormat="1" applyFont="1" applyFill="1" applyBorder="1" applyAlignment="1">
      <alignment horizontal="center" vertical="center" wrapText="1"/>
    </xf>
    <xf numFmtId="2" fontId="5" fillId="0" borderId="10" xfId="0" applyNumberFormat="1" applyFont="1" applyBorder="1" applyAlignment="1">
      <alignment horizontal="right" vertical="top" wrapText="1"/>
    </xf>
    <xf numFmtId="2" fontId="5" fillId="6" borderId="39" xfId="0" applyNumberFormat="1" applyFont="1" applyFill="1" applyBorder="1" applyAlignment="1">
      <alignment vertical="center" wrapText="1"/>
    </xf>
    <xf numFmtId="2" fontId="5" fillId="0" borderId="55" xfId="0" applyNumberFormat="1" applyFont="1" applyBorder="1" applyAlignment="1">
      <alignment vertical="center" wrapText="1"/>
    </xf>
    <xf numFmtId="2" fontId="5" fillId="6" borderId="47" xfId="0" applyNumberFormat="1" applyFont="1" applyFill="1" applyBorder="1" applyAlignment="1">
      <alignment horizontal="center" vertical="top" wrapText="1"/>
    </xf>
    <xf numFmtId="2" fontId="5" fillId="25" borderId="39" xfId="0" applyNumberFormat="1" applyFont="1" applyFill="1" applyBorder="1" applyAlignment="1">
      <alignment horizontal="center" vertical="center" wrapText="1"/>
    </xf>
    <xf numFmtId="2" fontId="5" fillId="25" borderId="1" xfId="0" applyNumberFormat="1" applyFont="1" applyFill="1" applyBorder="1" applyAlignment="1">
      <alignment horizontal="center" vertical="center" wrapText="1"/>
    </xf>
    <xf numFmtId="2" fontId="5" fillId="25" borderId="47" xfId="0" applyNumberFormat="1" applyFont="1" applyFill="1" applyBorder="1" applyAlignment="1">
      <alignment horizontal="center" vertical="center" wrapText="1"/>
    </xf>
    <xf numFmtId="0" fontId="5" fillId="0" borderId="67" xfId="0" applyFont="1" applyBorder="1" applyAlignment="1">
      <alignment horizontal="left" vertical="top" wrapText="1"/>
    </xf>
    <xf numFmtId="0" fontId="13" fillId="0" borderId="5" xfId="0" applyFont="1" applyBorder="1" applyAlignment="1" applyProtection="1">
      <alignment horizontal="center" vertical="center"/>
      <protection hidden="1"/>
    </xf>
    <xf numFmtId="0" fontId="39" fillId="0" borderId="17" xfId="0" applyFont="1" applyBorder="1" applyAlignment="1">
      <alignment horizontal="left" vertical="top" wrapText="1"/>
    </xf>
    <xf numFmtId="0" fontId="39" fillId="0" borderId="3" xfId="0" applyFont="1" applyBorder="1" applyAlignment="1">
      <alignment horizontal="center" vertical="top" wrapText="1"/>
    </xf>
    <xf numFmtId="1" fontId="59" fillId="2" borderId="1" xfId="0" applyNumberFormat="1" applyFont="1" applyFill="1" applyBorder="1" applyAlignment="1">
      <alignment horizontal="center" vertical="top" wrapText="1"/>
    </xf>
    <xf numFmtId="0" fontId="60" fillId="26" borderId="5" xfId="0" applyFont="1" applyFill="1" applyBorder="1" applyAlignment="1">
      <alignment wrapText="1"/>
    </xf>
    <xf numFmtId="0" fontId="14" fillId="26" borderId="5" xfId="0" applyFont="1" applyFill="1" applyBorder="1" applyAlignment="1">
      <alignment horizontal="center" wrapText="1"/>
    </xf>
    <xf numFmtId="0" fontId="17" fillId="0" borderId="18" xfId="0" applyFont="1" applyBorder="1" applyAlignment="1">
      <alignment vertical="top" wrapText="1"/>
    </xf>
    <xf numFmtId="0" fontId="17" fillId="0" borderId="21" xfId="0" applyFont="1" applyBorder="1" applyAlignment="1">
      <alignment vertical="top" wrapText="1"/>
    </xf>
    <xf numFmtId="0" fontId="17" fillId="0" borderId="24" xfId="0" applyFont="1" applyBorder="1" applyAlignment="1">
      <alignment vertical="top" wrapText="1"/>
    </xf>
    <xf numFmtId="0" fontId="6" fillId="18" borderId="5" xfId="0" applyFont="1" applyFill="1" applyBorder="1" applyAlignment="1" applyProtection="1">
      <alignment horizontal="left" vertical="top" wrapText="1"/>
      <protection locked="0"/>
    </xf>
    <xf numFmtId="0" fontId="0" fillId="0" borderId="0" xfId="0" applyProtection="1">
      <alignment vertical="top"/>
      <protection locked="0"/>
    </xf>
    <xf numFmtId="0" fontId="5" fillId="0" borderId="22" xfId="0" applyFont="1" applyBorder="1" applyAlignment="1">
      <alignment vertical="top" wrapText="1"/>
    </xf>
    <xf numFmtId="0" fontId="5" fillId="0" borderId="1" xfId="0" applyFont="1" applyBorder="1" applyAlignment="1">
      <alignment horizontal="left" vertical="top" wrapText="1"/>
    </xf>
    <xf numFmtId="0" fontId="5" fillId="0" borderId="75" xfId="0" applyFont="1" applyBorder="1" applyAlignment="1">
      <alignment horizontal="left" vertical="top" wrapText="1"/>
    </xf>
    <xf numFmtId="0" fontId="23" fillId="0" borderId="42" xfId="0" applyFont="1" applyBorder="1" applyAlignment="1">
      <alignment horizontal="left" vertical="top" wrapText="1"/>
    </xf>
    <xf numFmtId="0" fontId="5" fillId="0" borderId="47" xfId="0" applyFont="1" applyBorder="1" applyAlignment="1">
      <alignment horizontal="left" vertical="top" wrapText="1"/>
    </xf>
    <xf numFmtId="0" fontId="5" fillId="0" borderId="34" xfId="1" applyFont="1" applyBorder="1" applyAlignment="1">
      <alignment vertical="top" wrapText="1"/>
    </xf>
    <xf numFmtId="0" fontId="5" fillId="0" borderId="19" xfId="1" applyFont="1" applyBorder="1" applyAlignment="1">
      <alignment horizontal="left" vertical="top" wrapText="1" indent="1"/>
    </xf>
    <xf numFmtId="0" fontId="5" fillId="0" borderId="20" xfId="1" applyFont="1" applyBorder="1" applyAlignment="1">
      <alignment horizontal="left" vertical="top" wrapText="1" indent="1"/>
    </xf>
    <xf numFmtId="0" fontId="5" fillId="0" borderId="3" xfId="0" applyFont="1" applyBorder="1" applyAlignment="1">
      <alignment vertical="top" wrapText="1"/>
    </xf>
    <xf numFmtId="1" fontId="5" fillId="14" borderId="56" xfId="0" applyNumberFormat="1" applyFont="1" applyFill="1" applyBorder="1" applyAlignment="1">
      <alignment horizontal="center" vertical="top" wrapText="1"/>
    </xf>
    <xf numFmtId="1" fontId="5" fillId="14" borderId="39" xfId="0" applyNumberFormat="1" applyFont="1" applyFill="1" applyBorder="1" applyAlignment="1">
      <alignment horizontal="center" vertical="top" wrapText="1"/>
    </xf>
    <xf numFmtId="1" fontId="5" fillId="14" borderId="35" xfId="0" applyNumberFormat="1" applyFont="1" applyFill="1" applyBorder="1" applyAlignment="1">
      <alignment horizontal="center" vertical="top" wrapText="1"/>
    </xf>
    <xf numFmtId="1" fontId="5" fillId="14" borderId="47" xfId="0" applyNumberFormat="1" applyFont="1" applyFill="1" applyBorder="1" applyAlignment="1">
      <alignment horizontal="center" vertical="top" wrapText="1"/>
    </xf>
    <xf numFmtId="1" fontId="5" fillId="2" borderId="36" xfId="0" applyNumberFormat="1" applyFont="1" applyFill="1" applyBorder="1" applyAlignment="1">
      <alignment horizontal="center" vertical="top" wrapText="1"/>
    </xf>
    <xf numFmtId="1" fontId="5" fillId="2" borderId="10" xfId="0" applyNumberFormat="1" applyFont="1" applyFill="1" applyBorder="1" applyAlignment="1">
      <alignment horizontal="center" vertical="top" wrapText="1"/>
    </xf>
    <xf numFmtId="2" fontId="5" fillId="5" borderId="68" xfId="0" applyNumberFormat="1" applyFont="1" applyFill="1" applyBorder="1" applyAlignment="1">
      <alignment horizontal="center" vertical="top" wrapText="1"/>
    </xf>
    <xf numFmtId="2" fontId="5" fillId="2" borderId="10" xfId="0" applyNumberFormat="1" applyFont="1" applyFill="1" applyBorder="1" applyAlignment="1">
      <alignment horizontal="center" vertical="top" wrapText="1"/>
    </xf>
    <xf numFmtId="2" fontId="28" fillId="0" borderId="56" xfId="0" applyNumberFormat="1" applyFont="1" applyBorder="1" applyAlignment="1">
      <alignment horizontal="center" vertical="top" wrapText="1"/>
    </xf>
    <xf numFmtId="2" fontId="5" fillId="5" borderId="42" xfId="0" applyNumberFormat="1" applyFont="1" applyFill="1" applyBorder="1" applyAlignment="1">
      <alignment horizontal="center" vertical="top" wrapText="1"/>
    </xf>
    <xf numFmtId="2" fontId="5" fillId="2" borderId="70" xfId="0" applyNumberFormat="1" applyFont="1" applyFill="1" applyBorder="1" applyAlignment="1">
      <alignment horizontal="center" vertical="top" wrapText="1"/>
    </xf>
    <xf numFmtId="2" fontId="5" fillId="14" borderId="28" xfId="0" applyNumberFormat="1" applyFont="1" applyFill="1" applyBorder="1" applyAlignment="1">
      <alignment horizontal="center" vertical="top" wrapText="1"/>
    </xf>
    <xf numFmtId="2" fontId="5" fillId="14" borderId="27" xfId="0" applyNumberFormat="1" applyFont="1" applyFill="1" applyBorder="1" applyAlignment="1">
      <alignment horizontal="center" vertical="top" wrapText="1"/>
    </xf>
    <xf numFmtId="2" fontId="5" fillId="14" borderId="40" xfId="0" applyNumberFormat="1" applyFont="1" applyFill="1" applyBorder="1" applyAlignment="1">
      <alignment horizontal="center" vertical="top" wrapText="1"/>
    </xf>
    <xf numFmtId="0" fontId="23" fillId="0" borderId="6" xfId="0" applyFont="1" applyBorder="1" applyAlignment="1">
      <alignment horizontal="center" vertical="top" wrapText="1"/>
    </xf>
    <xf numFmtId="0" fontId="23" fillId="0" borderId="50" xfId="0" applyFont="1" applyBorder="1" applyAlignment="1">
      <alignment horizontal="center" vertical="top" wrapText="1"/>
    </xf>
    <xf numFmtId="0" fontId="23" fillId="0" borderId="10" xfId="0" applyFont="1" applyBorder="1" applyAlignment="1">
      <alignment vertical="top" wrapText="1"/>
    </xf>
    <xf numFmtId="1" fontId="23" fillId="2" borderId="58" xfId="0" applyNumberFormat="1" applyFont="1" applyFill="1" applyBorder="1" applyAlignment="1">
      <alignment horizontal="center" vertical="top" wrapText="1"/>
    </xf>
    <xf numFmtId="1" fontId="5" fillId="2" borderId="73" xfId="0" applyNumberFormat="1" applyFont="1" applyFill="1" applyBorder="1" applyAlignment="1">
      <alignment horizontal="center" vertical="top"/>
    </xf>
    <xf numFmtId="0" fontId="5" fillId="0" borderId="53" xfId="1" applyFont="1" applyBorder="1" applyAlignment="1">
      <alignment vertical="top" wrapText="1"/>
    </xf>
    <xf numFmtId="0" fontId="5" fillId="0" borderId="78" xfId="0" applyFont="1" applyBorder="1" applyAlignment="1">
      <alignment horizontal="left" vertical="top" wrapText="1"/>
    </xf>
    <xf numFmtId="0" fontId="5" fillId="0" borderId="20" xfId="0" applyFont="1" applyBorder="1" applyAlignment="1">
      <alignment horizontal="left" vertical="top" wrapText="1"/>
    </xf>
    <xf numFmtId="2" fontId="26" fillId="0" borderId="73" xfId="0" applyNumberFormat="1" applyFont="1" applyBorder="1" applyAlignment="1">
      <alignment vertical="top" wrapText="1"/>
    </xf>
    <xf numFmtId="0" fontId="26" fillId="0" borderId="56" xfId="0" applyFont="1" applyBorder="1" applyAlignment="1">
      <alignment vertical="top" wrapText="1"/>
    </xf>
    <xf numFmtId="0" fontId="5" fillId="14" borderId="17" xfId="0" applyFont="1" applyFill="1" applyBorder="1" applyAlignment="1">
      <alignment horizontal="center" vertical="top" wrapText="1"/>
    </xf>
    <xf numFmtId="0" fontId="39" fillId="0" borderId="23" xfId="0" applyFont="1" applyBorder="1" applyAlignment="1">
      <alignment horizontal="left" vertical="top" wrapText="1"/>
    </xf>
    <xf numFmtId="0" fontId="39" fillId="0" borderId="68" xfId="0" applyFont="1" applyBorder="1" applyAlignment="1">
      <alignment horizontal="left" vertical="top" wrapText="1"/>
    </xf>
    <xf numFmtId="0" fontId="5" fillId="0" borderId="23" xfId="0" applyFont="1" applyBorder="1">
      <alignment vertical="top"/>
    </xf>
    <xf numFmtId="1" fontId="5" fillId="2" borderId="58" xfId="0" applyNumberFormat="1" applyFont="1" applyFill="1" applyBorder="1" applyAlignment="1">
      <alignment horizontal="center" vertical="top"/>
    </xf>
    <xf numFmtId="2" fontId="5" fillId="7" borderId="68" xfId="0" applyNumberFormat="1" applyFont="1" applyFill="1" applyBorder="1" applyAlignment="1">
      <alignment horizontal="center" vertical="top"/>
    </xf>
    <xf numFmtId="0" fontId="39" fillId="0" borderId="57" xfId="0" applyFont="1" applyBorder="1" applyAlignment="1">
      <alignment horizontal="center" vertical="top" wrapText="1"/>
    </xf>
    <xf numFmtId="1" fontId="26" fillId="2" borderId="52" xfId="0" applyNumberFormat="1" applyFont="1" applyFill="1" applyBorder="1" applyAlignment="1">
      <alignment horizontal="center" vertical="top"/>
    </xf>
    <xf numFmtId="0" fontId="39" fillId="0" borderId="65" xfId="0" applyFont="1" applyBorder="1" applyAlignment="1">
      <alignment horizontal="left" vertical="top" wrapText="1"/>
    </xf>
    <xf numFmtId="0" fontId="23" fillId="0" borderId="13" xfId="0" applyFont="1" applyBorder="1" applyAlignment="1">
      <alignment horizontal="center" vertical="top" wrapText="1"/>
    </xf>
    <xf numFmtId="0" fontId="26" fillId="0" borderId="58" xfId="0" applyFont="1" applyBorder="1" applyAlignment="1">
      <alignment horizontal="center" vertical="top" wrapText="1"/>
    </xf>
    <xf numFmtId="2" fontId="26" fillId="7" borderId="22" xfId="0" applyNumberFormat="1" applyFont="1" applyFill="1" applyBorder="1" applyAlignment="1">
      <alignment horizontal="center" vertical="top"/>
    </xf>
    <xf numFmtId="0" fontId="23" fillId="0" borderId="33" xfId="0" applyFont="1" applyBorder="1" applyAlignment="1">
      <alignment vertical="top" wrapText="1"/>
    </xf>
    <xf numFmtId="1" fontId="23" fillId="2" borderId="66" xfId="0" applyNumberFormat="1" applyFont="1" applyFill="1" applyBorder="1" applyAlignment="1">
      <alignment horizontal="center" vertical="top"/>
    </xf>
    <xf numFmtId="0" fontId="23" fillId="0" borderId="73" xfId="0" applyFont="1" applyBorder="1" applyAlignment="1">
      <alignment vertical="top" wrapText="1"/>
    </xf>
    <xf numFmtId="0" fontId="6" fillId="0" borderId="2" xfId="1" applyFont="1" applyBorder="1" applyAlignment="1">
      <alignment horizontal="left" vertical="top" wrapText="1" indent="1"/>
    </xf>
    <xf numFmtId="0" fontId="5" fillId="0" borderId="25" xfId="0" applyFont="1" applyBorder="1" applyAlignment="1">
      <alignment horizontal="left" vertical="top" wrapText="1" indent="1"/>
    </xf>
    <xf numFmtId="0" fontId="5" fillId="0" borderId="26" xfId="0" applyFont="1" applyBorder="1" applyAlignment="1">
      <alignment horizontal="left" vertical="top" wrapText="1" indent="1"/>
    </xf>
    <xf numFmtId="0" fontId="5" fillId="0" borderId="78" xfId="0" applyFont="1" applyBorder="1" applyAlignment="1">
      <alignment horizontal="left" vertical="top" wrapText="1" indent="1"/>
    </xf>
    <xf numFmtId="0" fontId="5" fillId="0" borderId="25" xfId="0" applyFont="1" applyBorder="1" applyAlignment="1">
      <alignment vertical="top" wrapText="1"/>
    </xf>
    <xf numFmtId="0" fontId="5" fillId="0" borderId="78" xfId="0" applyFont="1" applyBorder="1" applyAlignment="1">
      <alignment vertical="top" wrapText="1"/>
    </xf>
    <xf numFmtId="0" fontId="5" fillId="0" borderId="68" xfId="1" applyFont="1" applyBorder="1" applyAlignment="1">
      <alignment vertical="top" wrapText="1"/>
    </xf>
    <xf numFmtId="0" fontId="5" fillId="0" borderId="78" xfId="1" applyFont="1" applyBorder="1" applyAlignment="1">
      <alignment horizontal="left" vertical="top" wrapText="1" indent="1"/>
    </xf>
    <xf numFmtId="0" fontId="5" fillId="0" borderId="25" xfId="0" applyFont="1" applyBorder="1">
      <alignment vertical="top"/>
    </xf>
    <xf numFmtId="0" fontId="6" fillId="0" borderId="25" xfId="0" applyFont="1" applyBorder="1" applyAlignment="1">
      <alignment vertical="top" wrapText="1"/>
    </xf>
    <xf numFmtId="0" fontId="6" fillId="0" borderId="26" xfId="0" applyFont="1" applyBorder="1" applyAlignment="1">
      <alignment vertical="top" wrapText="1"/>
    </xf>
    <xf numFmtId="0" fontId="5" fillId="0" borderId="46" xfId="0" applyFont="1" applyBorder="1" applyAlignment="1">
      <alignment horizontal="left" vertical="top"/>
    </xf>
    <xf numFmtId="0" fontId="5" fillId="0" borderId="42" xfId="0" applyFont="1" applyBorder="1" applyAlignment="1">
      <alignment horizontal="left" vertical="top"/>
    </xf>
    <xf numFmtId="0" fontId="31" fillId="0" borderId="46" xfId="0" applyFont="1" applyBorder="1" applyAlignment="1" applyProtection="1">
      <alignment horizontal="center" vertical="top" wrapText="1"/>
      <protection locked="0"/>
    </xf>
    <xf numFmtId="0" fontId="31" fillId="0" borderId="46" xfId="0" applyFont="1" applyBorder="1" applyAlignment="1">
      <alignment horizontal="center" vertical="top"/>
    </xf>
    <xf numFmtId="1" fontId="28" fillId="2" borderId="12" xfId="0" applyNumberFormat="1" applyFont="1" applyFill="1" applyBorder="1" applyAlignment="1" applyProtection="1">
      <alignment horizontal="center" vertical="top" wrapText="1"/>
      <protection hidden="1"/>
    </xf>
    <xf numFmtId="0" fontId="28" fillId="0" borderId="59" xfId="0" applyFont="1" applyBorder="1" applyAlignment="1">
      <alignment horizontal="left" vertical="top" wrapText="1"/>
    </xf>
    <xf numFmtId="0" fontId="5" fillId="0" borderId="18" xfId="0" applyFont="1" applyBorder="1" applyAlignment="1">
      <alignment horizontal="left" vertical="top" wrapText="1"/>
    </xf>
    <xf numFmtId="0" fontId="28" fillId="0" borderId="68" xfId="0" applyFont="1" applyBorder="1" applyAlignment="1">
      <alignment horizontal="left" vertical="top" wrapText="1"/>
    </xf>
    <xf numFmtId="0" fontId="28" fillId="0" borderId="64" xfId="0" applyFont="1" applyBorder="1" applyAlignment="1">
      <alignment horizontal="left" vertical="top" wrapText="1"/>
    </xf>
    <xf numFmtId="0" fontId="28" fillId="0" borderId="46" xfId="0" applyFont="1" applyBorder="1" applyAlignment="1">
      <alignment horizontal="left" vertical="top" wrapText="1"/>
    </xf>
    <xf numFmtId="0" fontId="5" fillId="0" borderId="23" xfId="0" applyFont="1" applyBorder="1" applyAlignment="1">
      <alignment horizontal="left" vertical="top"/>
    </xf>
    <xf numFmtId="0" fontId="28" fillId="0" borderId="13" xfId="0" applyFont="1" applyBorder="1" applyAlignment="1">
      <alignment horizontal="left" vertical="top" wrapText="1"/>
    </xf>
    <xf numFmtId="1" fontId="5" fillId="2" borderId="11" xfId="0" applyNumberFormat="1" applyFont="1" applyFill="1" applyBorder="1" applyAlignment="1">
      <alignment horizontal="center" vertical="top" wrapText="1"/>
    </xf>
    <xf numFmtId="0" fontId="28" fillId="2" borderId="44" xfId="0" applyFont="1" applyFill="1" applyBorder="1" applyAlignment="1">
      <alignment horizontal="center" vertical="top" wrapText="1"/>
    </xf>
    <xf numFmtId="2" fontId="5" fillId="15" borderId="5" xfId="0" applyNumberFormat="1" applyFont="1" applyFill="1" applyBorder="1" applyAlignment="1">
      <alignment horizontal="center" vertical="top" wrapText="1"/>
    </xf>
    <xf numFmtId="2" fontId="5" fillId="0" borderId="44" xfId="0" applyNumberFormat="1" applyFont="1" applyBorder="1" applyAlignment="1">
      <alignment horizontal="center" vertical="top"/>
    </xf>
    <xf numFmtId="0" fontId="49" fillId="0" borderId="2" xfId="0" applyFont="1" applyBorder="1" applyAlignment="1">
      <alignment horizontal="center" vertical="top" wrapText="1"/>
    </xf>
    <xf numFmtId="49" fontId="47" fillId="0" borderId="48" xfId="1" applyNumberFormat="1" applyFont="1" applyBorder="1" applyAlignment="1">
      <alignment horizontal="right" vertical="center" wrapText="1"/>
    </xf>
    <xf numFmtId="0" fontId="55" fillId="0" borderId="23" xfId="0" applyFont="1" applyBorder="1" applyAlignment="1" applyProtection="1">
      <alignment horizontal="center" wrapText="1"/>
      <protection locked="0"/>
    </xf>
    <xf numFmtId="0" fontId="64" fillId="0" borderId="0" xfId="0" applyFont="1" applyAlignment="1">
      <alignment horizontal="center" vertical="top"/>
    </xf>
    <xf numFmtId="0" fontId="66" fillId="0" borderId="0" xfId="0" applyFont="1" applyAlignment="1">
      <alignment horizontal="center" vertical="top"/>
    </xf>
    <xf numFmtId="0" fontId="65" fillId="0" borderId="0" xfId="0" applyFont="1" applyAlignment="1">
      <alignment horizontal="center" vertical="center"/>
    </xf>
    <xf numFmtId="0" fontId="68" fillId="0" borderId="0" xfId="0" applyFont="1" applyAlignment="1">
      <alignment horizontal="center" vertical="center"/>
    </xf>
    <xf numFmtId="0" fontId="66" fillId="18" borderId="59" xfId="0" applyFont="1" applyFill="1" applyBorder="1" applyAlignment="1">
      <alignment horizontal="center" vertical="top"/>
    </xf>
    <xf numFmtId="0" fontId="66" fillId="0" borderId="59" xfId="0" applyFont="1" applyBorder="1" applyAlignment="1">
      <alignment horizontal="center" vertical="top"/>
    </xf>
    <xf numFmtId="0" fontId="66" fillId="0" borderId="10" xfId="0" applyFont="1" applyBorder="1" applyAlignment="1">
      <alignment horizontal="center" vertical="top"/>
    </xf>
    <xf numFmtId="0" fontId="66" fillId="18" borderId="53" xfId="0" applyFont="1" applyFill="1" applyBorder="1" applyAlignment="1">
      <alignment horizontal="center" vertical="top"/>
    </xf>
    <xf numFmtId="0" fontId="66" fillId="0" borderId="53" xfId="0" applyFont="1" applyBorder="1" applyAlignment="1">
      <alignment horizontal="center" vertical="top"/>
    </xf>
    <xf numFmtId="0" fontId="66" fillId="22" borderId="53" xfId="0" applyFont="1" applyFill="1" applyBorder="1" applyAlignment="1">
      <alignment horizontal="center" vertical="top"/>
    </xf>
    <xf numFmtId="0" fontId="66" fillId="0" borderId="0" xfId="0" applyFont="1" applyAlignment="1">
      <alignment horizontal="left" vertical="top"/>
    </xf>
    <xf numFmtId="0" fontId="66" fillId="0" borderId="0" xfId="0" applyFont="1" applyAlignment="1">
      <alignment horizontal="left" vertical="top" wrapText="1"/>
    </xf>
    <xf numFmtId="0" fontId="71" fillId="0" borderId="5" xfId="0" applyFont="1" applyBorder="1" applyAlignment="1" applyProtection="1">
      <alignment horizontal="left" vertical="top" wrapText="1"/>
      <protection locked="0"/>
    </xf>
    <xf numFmtId="0" fontId="70" fillId="0" borderId="0" xfId="0" applyFont="1" applyAlignment="1">
      <alignment horizontal="left" vertical="top" wrapText="1"/>
    </xf>
    <xf numFmtId="0" fontId="70" fillId="0" borderId="0" xfId="0" applyFont="1" applyAlignment="1">
      <alignment horizontal="center" vertical="top"/>
    </xf>
    <xf numFmtId="0" fontId="5" fillId="0" borderId="2" xfId="0" applyFont="1" applyBorder="1" applyAlignment="1">
      <alignment horizontal="left" vertical="top" wrapText="1"/>
    </xf>
    <xf numFmtId="2" fontId="5" fillId="0" borderId="6" xfId="0" applyNumberFormat="1" applyFont="1" applyBorder="1" applyAlignment="1">
      <alignment vertical="top" wrapText="1"/>
    </xf>
    <xf numFmtId="2" fontId="5" fillId="0" borderId="1" xfId="0" applyNumberFormat="1" applyFont="1" applyBorder="1" applyAlignment="1">
      <alignment horizontal="left" vertical="top" wrapText="1"/>
    </xf>
    <xf numFmtId="0" fontId="5" fillId="2" borderId="73" xfId="0" applyFont="1" applyFill="1" applyBorder="1" applyAlignment="1">
      <alignment horizontal="center" vertical="top" wrapText="1"/>
    </xf>
    <xf numFmtId="0" fontId="5" fillId="0" borderId="39" xfId="0" applyFont="1" applyBorder="1" applyAlignment="1">
      <alignment horizontal="center" vertical="top" wrapText="1"/>
    </xf>
    <xf numFmtId="1" fontId="26" fillId="2" borderId="11" xfId="0" applyNumberFormat="1" applyFont="1" applyFill="1" applyBorder="1" applyAlignment="1">
      <alignment horizontal="center" vertical="top" wrapText="1"/>
    </xf>
    <xf numFmtId="0" fontId="5" fillId="0" borderId="64" xfId="0" applyFont="1" applyBorder="1" applyAlignment="1">
      <alignment horizontal="left" vertical="top" wrapText="1"/>
    </xf>
    <xf numFmtId="0" fontId="5" fillId="0" borderId="25" xfId="0" applyFont="1" applyBorder="1" applyAlignment="1">
      <alignment horizontal="left" vertical="top" wrapText="1"/>
    </xf>
    <xf numFmtId="0" fontId="74" fillId="11" borderId="30" xfId="0" applyFont="1" applyFill="1" applyBorder="1" applyAlignment="1">
      <alignment horizontal="left" vertical="top" wrapText="1"/>
    </xf>
    <xf numFmtId="0" fontId="77" fillId="13" borderId="5" xfId="0" applyFont="1" applyFill="1" applyBorder="1" applyAlignment="1">
      <alignment horizontal="center" vertical="center" wrapText="1"/>
    </xf>
    <xf numFmtId="49" fontId="77" fillId="13" borderId="53" xfId="0" applyNumberFormat="1" applyFont="1" applyFill="1" applyBorder="1" applyAlignment="1">
      <alignment horizontal="center" vertical="center" wrapText="1"/>
    </xf>
    <xf numFmtId="49" fontId="77" fillId="13" borderId="5" xfId="0" applyNumberFormat="1" applyFont="1" applyFill="1" applyBorder="1" applyAlignment="1">
      <alignment horizontal="center" vertical="center" wrapText="1"/>
    </xf>
    <xf numFmtId="1" fontId="77" fillId="13" borderId="53" xfId="0" applyNumberFormat="1" applyFont="1" applyFill="1" applyBorder="1" applyAlignment="1" applyProtection="1">
      <alignment horizontal="center" vertical="center" wrapText="1"/>
      <protection hidden="1"/>
    </xf>
    <xf numFmtId="0" fontId="77" fillId="13" borderId="5" xfId="0" applyFont="1" applyFill="1" applyBorder="1" applyAlignment="1" applyProtection="1">
      <alignment horizontal="center" vertical="center" wrapText="1"/>
      <protection hidden="1"/>
    </xf>
    <xf numFmtId="0" fontId="78" fillId="0" borderId="0" xfId="0" applyFont="1">
      <alignment vertical="top"/>
    </xf>
    <xf numFmtId="0" fontId="79" fillId="0" borderId="41" xfId="0" applyFont="1" applyBorder="1" applyAlignment="1">
      <alignment vertical="top" wrapText="1"/>
    </xf>
    <xf numFmtId="1" fontId="79" fillId="2" borderId="57" xfId="0" applyNumberFormat="1" applyFont="1" applyFill="1" applyBorder="1" applyAlignment="1">
      <alignment horizontal="center" vertical="top" wrapText="1"/>
    </xf>
    <xf numFmtId="1" fontId="79" fillId="2" borderId="39" xfId="0" applyNumberFormat="1" applyFont="1" applyFill="1" applyBorder="1" applyAlignment="1">
      <alignment horizontal="center" vertical="top" wrapText="1"/>
    </xf>
    <xf numFmtId="1" fontId="79" fillId="2" borderId="35" xfId="0" applyNumberFormat="1" applyFont="1" applyFill="1" applyBorder="1" applyAlignment="1">
      <alignment horizontal="center" vertical="top"/>
    </xf>
    <xf numFmtId="2" fontId="79" fillId="7" borderId="34" xfId="0" applyNumberFormat="1" applyFont="1" applyFill="1" applyBorder="1" applyAlignment="1">
      <alignment horizontal="center" vertical="top"/>
    </xf>
    <xf numFmtId="0" fontId="79" fillId="0" borderId="0" xfId="0" applyFont="1">
      <alignment vertical="top"/>
    </xf>
    <xf numFmtId="0" fontId="79" fillId="0" borderId="12" xfId="0" applyFont="1" applyBorder="1" applyAlignment="1">
      <alignment vertical="top" wrapText="1"/>
    </xf>
    <xf numFmtId="0" fontId="79" fillId="0" borderId="1" xfId="0" applyFont="1" applyBorder="1" applyAlignment="1">
      <alignment horizontal="center" vertical="top" wrapText="1"/>
    </xf>
    <xf numFmtId="0" fontId="79" fillId="2" borderId="6" xfId="0" applyFont="1" applyFill="1" applyBorder="1" applyAlignment="1">
      <alignment horizontal="center" vertical="top" wrapText="1"/>
    </xf>
    <xf numFmtId="1" fontId="79" fillId="2" borderId="1" xfId="0" applyNumberFormat="1" applyFont="1" applyFill="1" applyBorder="1" applyAlignment="1">
      <alignment horizontal="center" vertical="top"/>
    </xf>
    <xf numFmtId="2" fontId="79" fillId="2" borderId="8" xfId="0" applyNumberFormat="1" applyFont="1" applyFill="1" applyBorder="1" applyAlignment="1">
      <alignment horizontal="center" vertical="top"/>
    </xf>
    <xf numFmtId="0" fontId="79" fillId="0" borderId="6" xfId="0" applyFont="1" applyBorder="1" applyAlignment="1">
      <alignment vertical="top" wrapText="1"/>
    </xf>
    <xf numFmtId="2" fontId="79" fillId="2" borderId="2" xfId="0" applyNumberFormat="1" applyFont="1" applyFill="1" applyBorder="1" applyAlignment="1">
      <alignment horizontal="center" vertical="top"/>
    </xf>
    <xf numFmtId="0" fontId="79" fillId="0" borderId="11" xfId="0" applyFont="1" applyBorder="1" applyAlignment="1">
      <alignment horizontal="center" vertical="top" wrapText="1"/>
    </xf>
    <xf numFmtId="0" fontId="79" fillId="0" borderId="3" xfId="0" applyFont="1" applyBorder="1" applyAlignment="1">
      <alignment horizontal="center" vertical="top" wrapText="1"/>
    </xf>
    <xf numFmtId="0" fontId="79" fillId="0" borderId="10" xfId="0" applyFont="1" applyBorder="1" applyAlignment="1">
      <alignment vertical="top" wrapText="1"/>
    </xf>
    <xf numFmtId="0" fontId="79" fillId="0" borderId="47" xfId="0" applyFont="1" applyBorder="1" applyAlignment="1">
      <alignment horizontal="center" vertical="top" wrapText="1"/>
    </xf>
    <xf numFmtId="0" fontId="79" fillId="2" borderId="17" xfId="0" applyFont="1" applyFill="1" applyBorder="1" applyAlignment="1">
      <alignment horizontal="center" vertical="top" wrapText="1"/>
    </xf>
    <xf numFmtId="1" fontId="79" fillId="2" borderId="3" xfId="0" applyNumberFormat="1" applyFont="1" applyFill="1" applyBorder="1" applyAlignment="1">
      <alignment horizontal="center" vertical="top"/>
    </xf>
    <xf numFmtId="2" fontId="79" fillId="2" borderId="9" xfId="0" applyNumberFormat="1" applyFont="1" applyFill="1" applyBorder="1" applyAlignment="1">
      <alignment horizontal="center" vertical="top"/>
    </xf>
    <xf numFmtId="0" fontId="79" fillId="0" borderId="4" xfId="0" applyFont="1" applyBorder="1" applyAlignment="1">
      <alignment horizontal="center" vertical="top" wrapText="1"/>
    </xf>
    <xf numFmtId="0" fontId="79" fillId="2" borderId="1" xfId="0" applyFont="1" applyFill="1" applyBorder="1" applyAlignment="1">
      <alignment horizontal="center" vertical="top" wrapText="1"/>
    </xf>
    <xf numFmtId="0" fontId="79" fillId="0" borderId="50" xfId="0" applyFont="1" applyBorder="1" applyAlignment="1">
      <alignment vertical="top" wrapText="1"/>
    </xf>
    <xf numFmtId="0" fontId="79" fillId="2" borderId="47" xfId="0" applyFont="1" applyFill="1" applyBorder="1" applyAlignment="1">
      <alignment horizontal="center" vertical="top" wrapText="1"/>
    </xf>
    <xf numFmtId="1" fontId="79" fillId="2" borderId="47" xfId="0" applyNumberFormat="1" applyFont="1" applyFill="1" applyBorder="1" applyAlignment="1">
      <alignment horizontal="center" vertical="top"/>
    </xf>
    <xf numFmtId="2" fontId="79" fillId="2" borderId="48" xfId="0" applyNumberFormat="1" applyFont="1" applyFill="1" applyBorder="1" applyAlignment="1">
      <alignment horizontal="center" vertical="top"/>
    </xf>
    <xf numFmtId="0" fontId="79" fillId="0" borderId="54" xfId="0" applyFont="1" applyBorder="1" applyAlignment="1">
      <alignment vertical="top" wrapText="1"/>
    </xf>
    <xf numFmtId="0" fontId="79" fillId="0" borderId="74" xfId="0" applyFont="1" applyBorder="1" applyAlignment="1">
      <alignment vertical="top" wrapText="1"/>
    </xf>
    <xf numFmtId="0" fontId="79" fillId="0" borderId="7" xfId="0" applyFont="1" applyBorder="1" applyAlignment="1">
      <alignment horizontal="center" vertical="top" wrapText="1"/>
    </xf>
    <xf numFmtId="0" fontId="79" fillId="0" borderId="33" xfId="0" applyFont="1" applyBorder="1" applyAlignment="1">
      <alignment vertical="top" wrapText="1"/>
    </xf>
    <xf numFmtId="0" fontId="79" fillId="0" borderId="60" xfId="0" applyFont="1" applyBorder="1" applyAlignment="1">
      <alignment vertical="top" wrapText="1"/>
    </xf>
    <xf numFmtId="1" fontId="79" fillId="2" borderId="50" xfId="0" applyNumberFormat="1" applyFont="1" applyFill="1" applyBorder="1" applyAlignment="1">
      <alignment horizontal="center" vertical="top" wrapText="1"/>
    </xf>
    <xf numFmtId="0" fontId="79" fillId="0" borderId="5" xfId="0" applyFont="1" applyBorder="1" applyAlignment="1">
      <alignment vertical="top" wrapText="1"/>
    </xf>
    <xf numFmtId="0" fontId="79" fillId="2" borderId="66" xfId="0" applyFont="1" applyFill="1" applyBorder="1" applyAlignment="1">
      <alignment horizontal="center" vertical="top" wrapText="1"/>
    </xf>
    <xf numFmtId="0" fontId="79" fillId="2" borderId="39" xfId="0" applyFont="1" applyFill="1" applyBorder="1" applyAlignment="1">
      <alignment horizontal="center" vertical="top" wrapText="1"/>
    </xf>
    <xf numFmtId="1" fontId="79" fillId="2" borderId="39" xfId="0" applyNumberFormat="1" applyFont="1" applyFill="1" applyBorder="1" applyAlignment="1">
      <alignment horizontal="center" vertical="top"/>
    </xf>
    <xf numFmtId="0" fontId="79" fillId="0" borderId="0" xfId="0" applyFont="1" applyAlignment="1">
      <alignment vertical="top" wrapText="1"/>
    </xf>
    <xf numFmtId="0" fontId="79" fillId="0" borderId="77" xfId="0" applyFont="1" applyBorder="1" applyAlignment="1">
      <alignment vertical="top" wrapText="1"/>
    </xf>
    <xf numFmtId="0" fontId="79" fillId="2" borderId="3" xfId="0" applyFont="1" applyFill="1" applyBorder="1" applyAlignment="1">
      <alignment horizontal="center" vertical="top" wrapText="1"/>
    </xf>
    <xf numFmtId="0" fontId="79" fillId="0" borderId="12" xfId="0" applyFont="1" applyBorder="1" applyAlignment="1">
      <alignment horizontal="center" vertical="top" wrapText="1"/>
    </xf>
    <xf numFmtId="0" fontId="79" fillId="0" borderId="73" xfId="0" applyFont="1" applyBorder="1" applyAlignment="1">
      <alignment vertical="top" wrapText="1"/>
    </xf>
    <xf numFmtId="0" fontId="79" fillId="0" borderId="6" xfId="0" applyFont="1" applyBorder="1" applyAlignment="1">
      <alignment horizontal="center" vertical="top" wrapText="1"/>
    </xf>
    <xf numFmtId="0" fontId="79" fillId="2" borderId="50" xfId="0" applyFont="1" applyFill="1" applyBorder="1" applyAlignment="1">
      <alignment horizontal="center" vertical="top" wrapText="1"/>
    </xf>
    <xf numFmtId="0" fontId="79" fillId="0" borderId="41" xfId="0" applyFont="1" applyBorder="1" applyAlignment="1">
      <alignment horizontal="left" vertical="top" wrapText="1"/>
    </xf>
    <xf numFmtId="0" fontId="79" fillId="0" borderId="12" xfId="0" applyFont="1" applyBorder="1" applyAlignment="1">
      <alignment horizontal="left" vertical="top" wrapText="1"/>
    </xf>
    <xf numFmtId="0" fontId="79" fillId="2" borderId="4" xfId="0" applyFont="1" applyFill="1" applyBorder="1" applyAlignment="1">
      <alignment horizontal="center" vertical="top" wrapText="1"/>
    </xf>
    <xf numFmtId="0" fontId="79" fillId="2" borderId="52" xfId="0" applyFont="1" applyFill="1" applyBorder="1" applyAlignment="1">
      <alignment horizontal="center" vertical="top" wrapText="1"/>
    </xf>
    <xf numFmtId="2" fontId="79" fillId="7" borderId="34" xfId="0" applyNumberFormat="1" applyFont="1" applyFill="1" applyBorder="1" applyAlignment="1">
      <alignment horizontal="center" vertical="top" wrapText="1"/>
    </xf>
    <xf numFmtId="1" fontId="79" fillId="2" borderId="1" xfId="0" applyNumberFormat="1" applyFont="1" applyFill="1" applyBorder="1" applyAlignment="1">
      <alignment horizontal="center" vertical="top" wrapText="1"/>
    </xf>
    <xf numFmtId="1" fontId="79" fillId="2" borderId="47" xfId="0" applyNumberFormat="1" applyFont="1" applyFill="1" applyBorder="1" applyAlignment="1">
      <alignment horizontal="center" vertical="top" wrapText="1"/>
    </xf>
    <xf numFmtId="0" fontId="79" fillId="0" borderId="71" xfId="0" applyFont="1" applyBorder="1" applyAlignment="1">
      <alignment vertical="top" wrapText="1"/>
    </xf>
    <xf numFmtId="1" fontId="79" fillId="2" borderId="4" xfId="0" applyNumberFormat="1" applyFont="1" applyFill="1" applyBorder="1" applyAlignment="1">
      <alignment horizontal="center" vertical="top" wrapText="1"/>
    </xf>
    <xf numFmtId="1" fontId="79" fillId="2" borderId="8" xfId="0" applyNumberFormat="1" applyFont="1" applyFill="1" applyBorder="1" applyAlignment="1">
      <alignment horizontal="center" vertical="top"/>
    </xf>
    <xf numFmtId="2" fontId="79" fillId="7" borderId="22" xfId="0" applyNumberFormat="1" applyFont="1" applyFill="1" applyBorder="1" applyAlignment="1">
      <alignment horizontal="center" vertical="top"/>
    </xf>
    <xf numFmtId="0" fontId="79" fillId="0" borderId="17" xfId="0" applyFont="1" applyBorder="1" applyAlignment="1">
      <alignment vertical="top" wrapText="1"/>
    </xf>
    <xf numFmtId="0" fontId="79" fillId="0" borderId="23" xfId="0" applyFont="1" applyBorder="1" applyAlignment="1">
      <alignment horizontal="left" vertical="top"/>
    </xf>
    <xf numFmtId="1" fontId="79" fillId="2" borderId="66" xfId="0" applyNumberFormat="1" applyFont="1" applyFill="1" applyBorder="1" applyAlignment="1">
      <alignment horizontal="center" vertical="top" wrapText="1"/>
    </xf>
    <xf numFmtId="1" fontId="79" fillId="2" borderId="6" xfId="0" applyNumberFormat="1" applyFont="1" applyFill="1" applyBorder="1" applyAlignment="1">
      <alignment horizontal="center" vertical="top"/>
    </xf>
    <xf numFmtId="0" fontId="79" fillId="0" borderId="50" xfId="0" applyFont="1" applyBorder="1" applyAlignment="1">
      <alignment horizontal="center" vertical="top" wrapText="1"/>
    </xf>
    <xf numFmtId="0" fontId="79" fillId="0" borderId="46" xfId="0" applyFont="1" applyBorder="1" applyAlignment="1">
      <alignment vertical="top" wrapText="1"/>
    </xf>
    <xf numFmtId="0" fontId="79" fillId="0" borderId="75" xfId="0" applyFont="1" applyBorder="1" applyAlignment="1">
      <alignment vertical="top" wrapText="1"/>
    </xf>
    <xf numFmtId="0" fontId="79" fillId="0" borderId="52" xfId="0" applyFont="1" applyBorder="1" applyAlignment="1">
      <alignment horizontal="center" vertical="top" wrapText="1"/>
    </xf>
    <xf numFmtId="1" fontId="79" fillId="2" borderId="12" xfId="0" applyNumberFormat="1" applyFont="1" applyFill="1" applyBorder="1" applyAlignment="1">
      <alignment horizontal="center" vertical="top" wrapText="1"/>
    </xf>
    <xf numFmtId="0" fontId="79" fillId="0" borderId="5" xfId="0" applyFont="1" applyBorder="1">
      <alignment vertical="top"/>
    </xf>
    <xf numFmtId="1" fontId="79" fillId="2" borderId="4" xfId="0" applyNumberFormat="1" applyFont="1" applyFill="1" applyBorder="1" applyAlignment="1">
      <alignment horizontal="center" vertical="top"/>
    </xf>
    <xf numFmtId="1" fontId="79" fillId="2" borderId="6" xfId="0" applyNumberFormat="1" applyFont="1" applyFill="1" applyBorder="1" applyAlignment="1">
      <alignment horizontal="center" vertical="top" wrapText="1"/>
    </xf>
    <xf numFmtId="0" fontId="79" fillId="0" borderId="56" xfId="0" applyFont="1" applyBorder="1" applyAlignment="1">
      <alignment vertical="top" wrapText="1"/>
    </xf>
    <xf numFmtId="1" fontId="79" fillId="2" borderId="3" xfId="0" applyNumberFormat="1" applyFont="1" applyFill="1" applyBorder="1" applyAlignment="1">
      <alignment horizontal="center" vertical="top" wrapText="1"/>
    </xf>
    <xf numFmtId="1" fontId="79" fillId="2" borderId="49" xfId="0" applyNumberFormat="1" applyFont="1" applyFill="1" applyBorder="1" applyAlignment="1">
      <alignment horizontal="center" vertical="top"/>
    </xf>
    <xf numFmtId="0" fontId="79" fillId="0" borderId="71" xfId="0" applyFont="1" applyBorder="1" applyAlignment="1">
      <alignment horizontal="left" vertical="top" wrapText="1"/>
    </xf>
    <xf numFmtId="1" fontId="79" fillId="2" borderId="12" xfId="0" applyNumberFormat="1" applyFont="1" applyFill="1" applyBorder="1" applyAlignment="1">
      <alignment horizontal="center" vertical="top"/>
    </xf>
    <xf numFmtId="1" fontId="79" fillId="2" borderId="7" xfId="0" applyNumberFormat="1" applyFont="1" applyFill="1" applyBorder="1" applyAlignment="1">
      <alignment horizontal="center" vertical="top"/>
    </xf>
    <xf numFmtId="0" fontId="79" fillId="0" borderId="56" xfId="0" applyFont="1" applyBorder="1" applyAlignment="1">
      <alignment horizontal="center" vertical="top" wrapText="1"/>
    </xf>
    <xf numFmtId="1" fontId="79" fillId="2" borderId="2" xfId="0" applyNumberFormat="1" applyFont="1" applyFill="1" applyBorder="1" applyAlignment="1">
      <alignment horizontal="center" vertical="top"/>
    </xf>
    <xf numFmtId="0" fontId="79" fillId="0" borderId="5" xfId="0" applyFont="1" applyBorder="1" applyAlignment="1">
      <alignment horizontal="left" vertical="top" wrapText="1"/>
    </xf>
    <xf numFmtId="1" fontId="79" fillId="2" borderId="8" xfId="0" applyNumberFormat="1" applyFont="1" applyFill="1" applyBorder="1" applyAlignment="1">
      <alignment horizontal="center" vertical="top" wrapText="1"/>
    </xf>
    <xf numFmtId="1" fontId="79" fillId="2" borderId="2" xfId="0" applyNumberFormat="1" applyFont="1" applyFill="1" applyBorder="1" applyAlignment="1">
      <alignment horizontal="center" vertical="top" wrapText="1"/>
    </xf>
    <xf numFmtId="1" fontId="79" fillId="2" borderId="9" xfId="0" applyNumberFormat="1" applyFont="1" applyFill="1" applyBorder="1" applyAlignment="1">
      <alignment horizontal="center" vertical="top" wrapText="1"/>
    </xf>
    <xf numFmtId="1" fontId="79" fillId="2" borderId="48" xfId="0" applyNumberFormat="1" applyFont="1" applyFill="1" applyBorder="1" applyAlignment="1">
      <alignment horizontal="center" vertical="top" wrapText="1"/>
    </xf>
    <xf numFmtId="1" fontId="79" fillId="2" borderId="54" xfId="0" applyNumberFormat="1" applyFont="1" applyFill="1" applyBorder="1" applyAlignment="1">
      <alignment horizontal="center" vertical="top" wrapText="1"/>
    </xf>
    <xf numFmtId="0" fontId="79" fillId="0" borderId="17" xfId="0" applyFont="1" applyBorder="1" applyAlignment="1">
      <alignment horizontal="center" vertical="top" wrapText="1"/>
    </xf>
    <xf numFmtId="0" fontId="79" fillId="0" borderId="59" xfId="0" applyFont="1" applyBorder="1">
      <alignment vertical="top"/>
    </xf>
    <xf numFmtId="2" fontId="79" fillId="6" borderId="59" xfId="0" applyNumberFormat="1" applyFont="1" applyFill="1" applyBorder="1" applyAlignment="1">
      <alignment horizontal="center" vertical="center"/>
    </xf>
    <xf numFmtId="0" fontId="79" fillId="6" borderId="35" xfId="0" applyFont="1" applyFill="1" applyBorder="1" applyAlignment="1">
      <alignment vertical="center" wrapText="1"/>
    </xf>
    <xf numFmtId="0" fontId="79" fillId="0" borderId="55" xfId="0" applyFont="1" applyBorder="1" applyAlignment="1">
      <alignment vertical="center"/>
    </xf>
    <xf numFmtId="2" fontId="79" fillId="6" borderId="9" xfId="0" applyNumberFormat="1" applyFont="1" applyFill="1" applyBorder="1" applyAlignment="1">
      <alignment horizontal="center" vertical="center"/>
    </xf>
    <xf numFmtId="0" fontId="79" fillId="6" borderId="8" xfId="0" applyFont="1" applyFill="1" applyBorder="1" applyAlignment="1">
      <alignment vertical="center" wrapText="1"/>
    </xf>
    <xf numFmtId="0" fontId="79" fillId="0" borderId="27" xfId="0" applyFont="1" applyBorder="1" applyAlignment="1">
      <alignment vertical="center"/>
    </xf>
    <xf numFmtId="0" fontId="79" fillId="0" borderId="27" xfId="0" applyFont="1" applyBorder="1" applyAlignment="1">
      <alignment horizontal="left" vertical="center"/>
    </xf>
    <xf numFmtId="0" fontId="79" fillId="0" borderId="0" xfId="0" applyFont="1" applyAlignment="1">
      <alignment horizontal="right" vertical="top"/>
    </xf>
    <xf numFmtId="2" fontId="79" fillId="6" borderId="48" xfId="0" applyNumberFormat="1" applyFont="1" applyFill="1" applyBorder="1" applyAlignment="1">
      <alignment horizontal="center" vertical="center"/>
    </xf>
    <xf numFmtId="0" fontId="79" fillId="6" borderId="58" xfId="0" applyFont="1" applyFill="1" applyBorder="1" applyAlignment="1">
      <alignment vertical="center" wrapText="1"/>
    </xf>
    <xf numFmtId="0" fontId="79" fillId="0" borderId="40" xfId="0" applyFont="1" applyBorder="1" applyAlignment="1">
      <alignment vertical="center"/>
    </xf>
    <xf numFmtId="0" fontId="79" fillId="0" borderId="10" xfId="0" applyFont="1" applyBorder="1">
      <alignment vertical="top"/>
    </xf>
    <xf numFmtId="2" fontId="79" fillId="7" borderId="5" xfId="0" applyNumberFormat="1" applyFont="1" applyFill="1" applyBorder="1" applyAlignment="1">
      <alignment horizontal="center" vertical="center"/>
    </xf>
    <xf numFmtId="0" fontId="79" fillId="0" borderId="0" xfId="0" applyFont="1" applyAlignment="1">
      <alignment horizontal="left" vertical="top" wrapText="1"/>
    </xf>
    <xf numFmtId="1" fontId="79" fillId="0" borderId="0" xfId="0" applyNumberFormat="1" applyFont="1" applyAlignment="1">
      <alignment horizontal="center" vertical="top"/>
    </xf>
    <xf numFmtId="2" fontId="79" fillId="0" borderId="0" xfId="0" applyNumberFormat="1" applyFont="1" applyAlignment="1">
      <alignment horizontal="center" vertical="top"/>
    </xf>
    <xf numFmtId="0" fontId="41" fillId="0" borderId="15" xfId="0" applyFont="1" applyBorder="1" applyAlignment="1">
      <alignment horizontal="left" vertical="top" wrapText="1"/>
    </xf>
    <xf numFmtId="0" fontId="41" fillId="0" borderId="36" xfId="0" applyFont="1" applyBorder="1" applyAlignment="1">
      <alignment horizontal="left" vertical="top" wrapText="1"/>
    </xf>
    <xf numFmtId="0" fontId="41" fillId="0" borderId="10" xfId="0" applyFont="1" applyBorder="1" applyAlignment="1">
      <alignment horizontal="left" vertical="top" wrapText="1"/>
    </xf>
    <xf numFmtId="0" fontId="41" fillId="0" borderId="53" xfId="0" applyFont="1" applyBorder="1" applyAlignment="1">
      <alignment horizontal="left" vertical="top" wrapText="1"/>
    </xf>
    <xf numFmtId="0" fontId="41" fillId="0" borderId="5" xfId="0" applyFont="1" applyBorder="1" applyAlignment="1">
      <alignment horizontal="left" vertical="top" wrapText="1"/>
    </xf>
    <xf numFmtId="0" fontId="41" fillId="0" borderId="23" xfId="0" applyFont="1" applyBorder="1" applyAlignment="1">
      <alignment horizontal="left" vertical="top" wrapText="1"/>
    </xf>
    <xf numFmtId="0" fontId="41" fillId="0" borderId="59" xfId="0" applyFont="1" applyBorder="1" applyAlignment="1">
      <alignment horizontal="left" vertical="top" wrapText="1"/>
    </xf>
    <xf numFmtId="0" fontId="41" fillId="0" borderId="46" xfId="0" applyFont="1" applyBorder="1" applyAlignment="1">
      <alignment horizontal="left" vertical="top" wrapText="1"/>
    </xf>
    <xf numFmtId="0" fontId="5" fillId="0" borderId="16" xfId="0" applyFont="1" applyBorder="1" applyAlignment="1">
      <alignment vertical="top" wrapText="1"/>
    </xf>
    <xf numFmtId="2" fontId="5" fillId="0" borderId="15" xfId="0" applyNumberFormat="1" applyFont="1" applyBorder="1" applyAlignment="1">
      <alignment vertical="top" wrapText="1"/>
    </xf>
    <xf numFmtId="0" fontId="5" fillId="0" borderId="46" xfId="0" applyFont="1" applyBorder="1" applyAlignment="1" applyProtection="1">
      <alignment horizontal="left" vertical="top"/>
      <protection locked="0"/>
    </xf>
    <xf numFmtId="0" fontId="31" fillId="0" borderId="46" xfId="0" applyFont="1" applyBorder="1" applyAlignment="1" applyProtection="1">
      <alignment horizontal="center" vertical="top"/>
      <protection locked="0"/>
    </xf>
    <xf numFmtId="0" fontId="5" fillId="0" borderId="46" xfId="0" applyFont="1" applyBorder="1" applyProtection="1">
      <alignment vertical="top"/>
      <protection locked="0"/>
    </xf>
    <xf numFmtId="0" fontId="5" fillId="0" borderId="42" xfId="0" applyFont="1" applyBorder="1" applyAlignment="1" applyProtection="1">
      <alignment horizontal="left" vertical="top"/>
      <protection locked="0"/>
    </xf>
    <xf numFmtId="0" fontId="67" fillId="15" borderId="5" xfId="0" applyFont="1" applyFill="1" applyBorder="1" applyAlignment="1">
      <alignment horizontal="center" vertical="center"/>
    </xf>
    <xf numFmtId="0" fontId="67" fillId="15" borderId="34" xfId="0" applyFont="1" applyFill="1" applyBorder="1" applyAlignment="1">
      <alignment horizontal="center" vertical="center"/>
    </xf>
    <xf numFmtId="0" fontId="66" fillId="0" borderId="34" xfId="0" applyFont="1" applyBorder="1" applyAlignment="1">
      <alignment horizontal="center" vertical="top"/>
    </xf>
    <xf numFmtId="0" fontId="66" fillId="0" borderId="41" xfId="0" applyFont="1" applyBorder="1" applyAlignment="1">
      <alignment horizontal="center" vertical="top"/>
    </xf>
    <xf numFmtId="0" fontId="5" fillId="0" borderId="68" xfId="0" applyFont="1" applyBorder="1" applyAlignment="1">
      <alignment vertical="top" wrapText="1"/>
    </xf>
    <xf numFmtId="2" fontId="86" fillId="0" borderId="0" xfId="0" applyNumberFormat="1" applyFont="1">
      <alignment vertical="top"/>
    </xf>
    <xf numFmtId="0" fontId="85" fillId="0" borderId="0" xfId="0" applyFont="1">
      <alignment vertical="top"/>
    </xf>
    <xf numFmtId="0" fontId="85" fillId="0" borderId="68" xfId="0" applyFont="1" applyBorder="1">
      <alignment vertical="top"/>
    </xf>
    <xf numFmtId="0" fontId="85" fillId="0" borderId="26" xfId="0" applyFont="1" applyBorder="1">
      <alignment vertical="top"/>
    </xf>
    <xf numFmtId="0" fontId="85" fillId="0" borderId="20" xfId="0" applyFont="1" applyBorder="1">
      <alignment vertical="top"/>
    </xf>
    <xf numFmtId="0" fontId="85" fillId="0" borderId="25" xfId="0" applyFont="1" applyBorder="1">
      <alignment vertical="top"/>
    </xf>
    <xf numFmtId="0" fontId="85" fillId="0" borderId="34" xfId="0" applyFont="1" applyBorder="1">
      <alignment vertical="top"/>
    </xf>
    <xf numFmtId="0" fontId="85" fillId="0" borderId="19" xfId="0" applyFont="1" applyBorder="1">
      <alignment vertical="top"/>
    </xf>
    <xf numFmtId="0" fontId="85" fillId="0" borderId="78" xfId="0" applyFont="1" applyBorder="1">
      <alignment vertical="top"/>
    </xf>
    <xf numFmtId="0" fontId="91" fillId="26" borderId="34" xfId="0" applyFont="1" applyFill="1" applyBorder="1" applyAlignment="1">
      <alignment vertical="center"/>
    </xf>
    <xf numFmtId="0" fontId="85" fillId="0" borderId="19" xfId="0" applyFont="1" applyBorder="1" applyAlignment="1">
      <alignment vertical="center"/>
    </xf>
    <xf numFmtId="0" fontId="85" fillId="0" borderId="26" xfId="0" applyFont="1" applyBorder="1" applyAlignment="1">
      <alignment vertical="center"/>
    </xf>
    <xf numFmtId="0" fontId="85" fillId="0" borderId="78" xfId="0" applyFont="1" applyBorder="1" applyAlignment="1">
      <alignment vertical="center"/>
    </xf>
    <xf numFmtId="0" fontId="85" fillId="0" borderId="25" xfId="0" applyFont="1" applyBorder="1" applyAlignment="1">
      <alignment vertical="center"/>
    </xf>
    <xf numFmtId="0" fontId="85" fillId="0" borderId="22" xfId="0" applyFont="1" applyBorder="1" applyAlignment="1">
      <alignment vertical="center"/>
    </xf>
    <xf numFmtId="2" fontId="86" fillId="0" borderId="0" xfId="0" applyNumberFormat="1" applyFont="1" applyAlignment="1">
      <alignment horizontal="center" vertical="top"/>
    </xf>
    <xf numFmtId="2" fontId="85" fillId="0" borderId="0" xfId="0" applyNumberFormat="1" applyFont="1" applyAlignment="1">
      <alignment horizontal="center"/>
    </xf>
    <xf numFmtId="2" fontId="92" fillId="0" borderId="0" xfId="0" applyNumberFormat="1" applyFont="1" applyAlignment="1">
      <alignment horizontal="center" vertical="top" wrapText="1"/>
    </xf>
    <xf numFmtId="0" fontId="5" fillId="0" borderId="30" xfId="0" applyFont="1" applyBorder="1" applyAlignment="1">
      <alignment horizontal="left" vertical="top" wrapText="1"/>
    </xf>
    <xf numFmtId="0" fontId="39" fillId="0" borderId="23" xfId="0" applyFont="1" applyBorder="1" applyAlignment="1">
      <alignment vertical="top" wrapText="1"/>
    </xf>
    <xf numFmtId="0" fontId="5" fillId="0" borderId="55" xfId="0" applyFont="1" applyBorder="1" applyAlignment="1">
      <alignment horizontal="left" vertical="center" wrapText="1"/>
    </xf>
    <xf numFmtId="0" fontId="5" fillId="0" borderId="27" xfId="0" applyFont="1" applyBorder="1" applyAlignment="1">
      <alignment horizontal="left" vertical="center" wrapText="1"/>
    </xf>
    <xf numFmtId="0" fontId="5" fillId="0" borderId="40" xfId="0" applyFont="1" applyBorder="1" applyAlignment="1">
      <alignment horizontal="left" vertical="center" wrapText="1"/>
    </xf>
    <xf numFmtId="1" fontId="28" fillId="2" borderId="57" xfId="0" applyNumberFormat="1" applyFont="1" applyFill="1" applyBorder="1" applyAlignment="1" applyProtection="1">
      <alignment horizontal="center" vertical="top" wrapText="1"/>
      <protection hidden="1"/>
    </xf>
    <xf numFmtId="0" fontId="28" fillId="2" borderId="57" xfId="0" applyFont="1" applyFill="1" applyBorder="1" applyAlignment="1" applyProtection="1">
      <alignment horizontal="center" vertical="top" wrapText="1"/>
      <protection hidden="1"/>
    </xf>
    <xf numFmtId="2" fontId="28" fillId="13" borderId="23" xfId="0" applyNumberFormat="1" applyFont="1" applyFill="1" applyBorder="1" applyAlignment="1">
      <alignment horizontal="center" vertical="top" wrapText="1"/>
    </xf>
    <xf numFmtId="0" fontId="28" fillId="2" borderId="2" xfId="0" applyFont="1" applyFill="1" applyBorder="1" applyAlignment="1" applyProtection="1">
      <alignment horizontal="center" vertical="top" wrapText="1"/>
      <protection hidden="1"/>
    </xf>
    <xf numFmtId="0" fontId="28" fillId="2" borderId="9" xfId="0" applyFont="1" applyFill="1" applyBorder="1" applyAlignment="1" applyProtection="1">
      <alignment horizontal="center" vertical="top" wrapText="1"/>
      <protection hidden="1"/>
    </xf>
    <xf numFmtId="0" fontId="39" fillId="0" borderId="76" xfId="0" applyFont="1" applyBorder="1" applyAlignment="1">
      <alignment vertical="top" wrapText="1"/>
    </xf>
    <xf numFmtId="0" fontId="79" fillId="0" borderId="34" xfId="0" applyFont="1" applyBorder="1" applyAlignment="1">
      <alignment vertical="top" wrapText="1"/>
    </xf>
    <xf numFmtId="0" fontId="79" fillId="2" borderId="44" xfId="0" applyFont="1" applyFill="1" applyBorder="1" applyAlignment="1">
      <alignment horizontal="center" vertical="top" wrapText="1"/>
    </xf>
    <xf numFmtId="1" fontId="79" fillId="2" borderId="44" xfId="0" applyNumberFormat="1" applyFont="1" applyFill="1" applyBorder="1" applyAlignment="1">
      <alignment horizontal="center" vertical="top" wrapText="1"/>
    </xf>
    <xf numFmtId="0" fontId="79" fillId="0" borderId="5" xfId="0" applyFont="1" applyBorder="1" applyAlignment="1">
      <alignment horizontal="left" vertical="top"/>
    </xf>
    <xf numFmtId="0" fontId="41" fillId="0" borderId="14" xfId="0" applyFont="1" applyBorder="1" applyAlignment="1">
      <alignment horizontal="left" vertical="top" wrapText="1"/>
    </xf>
    <xf numFmtId="1" fontId="28" fillId="2" borderId="66" xfId="0" applyNumberFormat="1" applyFont="1" applyFill="1" applyBorder="1" applyAlignment="1" applyProtection="1">
      <alignment horizontal="center" vertical="top" wrapText="1"/>
      <protection hidden="1"/>
    </xf>
    <xf numFmtId="0" fontId="28" fillId="0" borderId="1" xfId="0" applyFont="1" applyBorder="1" applyAlignment="1">
      <alignment vertical="top" wrapText="1"/>
    </xf>
    <xf numFmtId="0" fontId="28" fillId="0" borderId="4" xfId="0" applyFont="1" applyBorder="1" applyAlignment="1">
      <alignment vertical="top" wrapText="1"/>
    </xf>
    <xf numFmtId="0" fontId="28" fillId="0" borderId="47" xfId="0" applyFont="1" applyBorder="1" applyAlignment="1">
      <alignment vertical="top" wrapText="1"/>
    </xf>
    <xf numFmtId="0" fontId="5" fillId="2" borderId="65" xfId="0" applyFont="1" applyFill="1" applyBorder="1" applyAlignment="1">
      <alignment horizontal="center" vertical="top" wrapText="1"/>
    </xf>
    <xf numFmtId="0" fontId="5" fillId="0" borderId="14" xfId="0" applyFont="1" applyBorder="1" applyAlignment="1">
      <alignment horizontal="center" vertical="top" wrapText="1"/>
    </xf>
    <xf numFmtId="0" fontId="79" fillId="0" borderId="34" xfId="0" applyFont="1" applyBorder="1" applyAlignment="1">
      <alignment horizontal="left" vertical="top" wrapText="1"/>
    </xf>
    <xf numFmtId="1" fontId="79" fillId="2" borderId="51" xfId="0" applyNumberFormat="1" applyFont="1" applyFill="1" applyBorder="1" applyAlignment="1">
      <alignment horizontal="center" vertical="top" wrapText="1"/>
    </xf>
    <xf numFmtId="0" fontId="5" fillId="0" borderId="4" xfId="0" applyFont="1" applyBorder="1" applyAlignment="1">
      <alignment horizontal="left" vertical="top" wrapText="1"/>
    </xf>
    <xf numFmtId="0" fontId="5" fillId="0" borderId="7" xfId="0" applyFont="1" applyBorder="1" applyAlignment="1">
      <alignment horizontal="left" vertical="top" wrapText="1"/>
    </xf>
    <xf numFmtId="0" fontId="5" fillId="0" borderId="52" xfId="0" applyFont="1" applyBorder="1" applyAlignment="1">
      <alignment horizontal="left" vertical="top" wrapText="1"/>
    </xf>
    <xf numFmtId="1" fontId="5" fillId="0" borderId="4" xfId="0" applyNumberFormat="1" applyFont="1" applyBorder="1" applyAlignment="1">
      <alignment horizontal="left" vertical="top" wrapText="1"/>
    </xf>
    <xf numFmtId="1" fontId="5" fillId="0" borderId="52" xfId="0" applyNumberFormat="1" applyFont="1" applyBorder="1" applyAlignment="1">
      <alignment horizontal="left" vertical="top" wrapText="1"/>
    </xf>
    <xf numFmtId="0" fontId="28" fillId="0" borderId="4" xfId="0" applyFont="1" applyBorder="1" applyAlignment="1">
      <alignment horizontal="left" vertical="top" wrapText="1"/>
    </xf>
    <xf numFmtId="0" fontId="28" fillId="0" borderId="1" xfId="0" applyFont="1" applyBorder="1" applyAlignment="1">
      <alignment horizontal="left" vertical="top" wrapText="1"/>
    </xf>
    <xf numFmtId="0" fontId="28" fillId="0" borderId="3" xfId="0" applyFont="1" applyBorder="1" applyAlignment="1">
      <alignment horizontal="left" vertical="top" wrapText="1"/>
    </xf>
    <xf numFmtId="0" fontId="28" fillId="0" borderId="52" xfId="0" applyFont="1" applyBorder="1" applyAlignment="1">
      <alignment horizontal="left" vertical="top" wrapText="1"/>
    </xf>
    <xf numFmtId="0" fontId="28" fillId="0" borderId="47" xfId="0" applyFont="1" applyBorder="1" applyAlignment="1">
      <alignment horizontal="left" vertical="top" wrapText="1"/>
    </xf>
    <xf numFmtId="0" fontId="5" fillId="0" borderId="3" xfId="0" applyFont="1" applyBorder="1" applyAlignment="1">
      <alignment horizontal="left" vertical="top" wrapText="1"/>
    </xf>
    <xf numFmtId="0" fontId="28" fillId="0" borderId="7" xfId="0" applyFont="1" applyBorder="1" applyAlignment="1">
      <alignment horizontal="left" vertical="top" wrapText="1"/>
    </xf>
    <xf numFmtId="0" fontId="5" fillId="0" borderId="61" xfId="0" applyFont="1" applyBorder="1" applyAlignment="1">
      <alignment horizontal="left" vertical="top" wrapText="1"/>
    </xf>
    <xf numFmtId="1" fontId="26" fillId="0" borderId="7" xfId="0" applyNumberFormat="1" applyFont="1" applyBorder="1" applyAlignment="1">
      <alignment horizontal="left" vertical="top" wrapText="1"/>
    </xf>
    <xf numFmtId="1" fontId="26" fillId="0" borderId="3" xfId="0" applyNumberFormat="1" applyFont="1" applyBorder="1" applyAlignment="1">
      <alignment horizontal="left" vertical="top" wrapText="1"/>
    </xf>
    <xf numFmtId="1" fontId="26" fillId="0" borderId="4" xfId="0" applyNumberFormat="1" applyFont="1" applyBorder="1" applyAlignment="1">
      <alignment horizontal="left" vertical="top" wrapText="1"/>
    </xf>
    <xf numFmtId="1" fontId="26" fillId="0" borderId="1" xfId="0" applyNumberFormat="1" applyFont="1" applyBorder="1" applyAlignment="1">
      <alignment horizontal="left" vertical="top" wrapText="1"/>
    </xf>
    <xf numFmtId="1" fontId="26" fillId="0" borderId="47" xfId="0" applyNumberFormat="1" applyFont="1" applyBorder="1" applyAlignment="1">
      <alignment horizontal="left" vertical="top" wrapText="1"/>
    </xf>
    <xf numFmtId="0" fontId="26" fillId="0" borderId="53" xfId="0" applyFont="1" applyBorder="1" applyAlignment="1">
      <alignment horizontal="center" vertical="top" wrapText="1"/>
    </xf>
    <xf numFmtId="0" fontId="39" fillId="0" borderId="68" xfId="0" applyFont="1" applyBorder="1" applyAlignment="1">
      <alignment vertical="top" wrapText="1"/>
    </xf>
    <xf numFmtId="2" fontId="16" fillId="13" borderId="42" xfId="0" applyNumberFormat="1" applyFont="1" applyFill="1" applyBorder="1" applyAlignment="1">
      <alignment horizontal="center" vertical="center" wrapText="1"/>
    </xf>
    <xf numFmtId="0" fontId="28" fillId="0" borderId="0" xfId="0" applyFont="1" applyAlignment="1">
      <alignment vertical="center" wrapText="1"/>
    </xf>
    <xf numFmtId="0" fontId="28" fillId="0" borderId="69" xfId="0" applyFont="1" applyBorder="1" applyAlignment="1">
      <alignment vertical="center" wrapText="1"/>
    </xf>
    <xf numFmtId="0" fontId="28" fillId="0" borderId="0" xfId="0" applyFont="1" applyAlignment="1">
      <alignment horizontal="center" vertical="center" wrapText="1"/>
    </xf>
    <xf numFmtId="0" fontId="25" fillId="0" borderId="0" xfId="0" applyFont="1" applyAlignment="1">
      <alignment horizontal="center" vertical="center" wrapText="1"/>
    </xf>
    <xf numFmtId="1" fontId="5" fillId="0" borderId="12" xfId="0" applyNumberFormat="1" applyFont="1" applyBorder="1" applyAlignment="1">
      <alignment horizontal="center" vertical="top" wrapText="1"/>
    </xf>
    <xf numFmtId="0" fontId="28" fillId="0" borderId="74" xfId="0" applyFont="1" applyBorder="1" applyAlignment="1">
      <alignment horizontal="left" vertical="top" wrapText="1"/>
    </xf>
    <xf numFmtId="0" fontId="5" fillId="0" borderId="56" xfId="0" applyFont="1" applyBorder="1" applyAlignment="1">
      <alignment horizontal="right" vertical="top" wrapText="1"/>
    </xf>
    <xf numFmtId="1" fontId="28" fillId="0" borderId="44" xfId="0" applyNumberFormat="1" applyFont="1" applyBorder="1" applyAlignment="1">
      <alignment horizontal="center" vertical="top" wrapText="1"/>
    </xf>
    <xf numFmtId="2" fontId="5" fillId="0" borderId="3" xfId="0" applyNumberFormat="1" applyFont="1" applyBorder="1" applyAlignment="1">
      <alignment horizontal="left" vertical="top" wrapText="1"/>
    </xf>
    <xf numFmtId="0" fontId="5" fillId="0" borderId="66" xfId="0" applyFont="1" applyBorder="1" applyAlignment="1">
      <alignment horizontal="left" vertical="top" wrapText="1"/>
    </xf>
    <xf numFmtId="0" fontId="5" fillId="0" borderId="45" xfId="0" applyFont="1" applyBorder="1" applyAlignment="1">
      <alignment horizontal="left" vertical="top" wrapText="1"/>
    </xf>
    <xf numFmtId="1" fontId="5" fillId="0" borderId="52" xfId="0" applyNumberFormat="1" applyFont="1" applyBorder="1" applyAlignment="1">
      <alignment horizontal="center" vertical="center" wrapText="1"/>
    </xf>
    <xf numFmtId="1" fontId="5" fillId="6" borderId="15" xfId="0" applyNumberFormat="1" applyFont="1" applyFill="1" applyBorder="1" applyAlignment="1">
      <alignment vertical="center"/>
    </xf>
    <xf numFmtId="1" fontId="5" fillId="6" borderId="6" xfId="0" applyNumberFormat="1" applyFont="1" applyFill="1" applyBorder="1" applyAlignment="1">
      <alignment vertical="center"/>
    </xf>
    <xf numFmtId="0" fontId="5" fillId="0" borderId="57" xfId="0" applyFont="1" applyBorder="1" applyAlignment="1">
      <alignment horizontal="center" vertical="top" wrapText="1"/>
    </xf>
    <xf numFmtId="1" fontId="26" fillId="2" borderId="65" xfId="0" applyNumberFormat="1" applyFont="1" applyFill="1" applyBorder="1" applyAlignment="1">
      <alignment horizontal="center" vertical="top" wrapText="1"/>
    </xf>
    <xf numFmtId="0" fontId="79" fillId="2" borderId="65" xfId="0" applyFont="1" applyFill="1" applyBorder="1" applyAlignment="1">
      <alignment horizontal="center" vertical="top" wrapText="1"/>
    </xf>
    <xf numFmtId="0" fontId="70" fillId="0" borderId="0" xfId="0" applyFont="1" applyAlignment="1" applyProtection="1">
      <alignment horizontal="center" vertical="top"/>
      <protection locked="0"/>
    </xf>
    <xf numFmtId="0" fontId="25" fillId="0" borderId="46" xfId="0" applyFont="1" applyBorder="1" applyAlignment="1">
      <alignment vertical="top" wrapText="1"/>
    </xf>
    <xf numFmtId="0" fontId="5" fillId="0" borderId="64" xfId="0" applyFont="1" applyBorder="1">
      <alignment vertical="top"/>
    </xf>
    <xf numFmtId="0" fontId="28" fillId="0" borderId="59" xfId="0" applyFont="1" applyBorder="1" applyAlignment="1">
      <alignment horizontal="center" vertical="top" wrapText="1"/>
    </xf>
    <xf numFmtId="0" fontId="28" fillId="0" borderId="42" xfId="0" applyFont="1" applyBorder="1" applyAlignment="1">
      <alignment vertical="top" wrapText="1"/>
    </xf>
    <xf numFmtId="0" fontId="5" fillId="0" borderId="9" xfId="0" applyFont="1" applyBorder="1" applyAlignment="1">
      <alignment horizontal="left" vertical="top" wrapText="1"/>
    </xf>
    <xf numFmtId="0" fontId="5" fillId="0" borderId="19" xfId="0" applyFont="1" applyBorder="1" applyAlignment="1">
      <alignment horizontal="left" vertical="top" wrapText="1"/>
    </xf>
    <xf numFmtId="0" fontId="5" fillId="0" borderId="26" xfId="0" applyFont="1" applyBorder="1" applyAlignment="1">
      <alignment horizontal="left" vertical="top" wrapText="1"/>
    </xf>
    <xf numFmtId="2" fontId="26" fillId="0" borderId="68" xfId="0" applyNumberFormat="1" applyFont="1" applyBorder="1" applyAlignment="1">
      <alignment vertical="top" wrapText="1"/>
    </xf>
    <xf numFmtId="0" fontId="23" fillId="0" borderId="68" xfId="0" applyFont="1" applyBorder="1" applyAlignment="1">
      <alignment horizontal="left" vertical="top" wrapText="1"/>
    </xf>
    <xf numFmtId="0" fontId="55" fillId="21" borderId="68" xfId="0" applyFont="1" applyFill="1" applyBorder="1" applyAlignment="1">
      <alignment horizontal="center" vertical="center" wrapText="1"/>
    </xf>
    <xf numFmtId="0" fontId="71" fillId="21" borderId="23" xfId="0" applyFont="1" applyFill="1" applyBorder="1" applyAlignment="1">
      <alignment horizontal="center" vertical="center" wrapText="1"/>
    </xf>
    <xf numFmtId="0" fontId="72" fillId="21" borderId="23" xfId="0" applyFont="1" applyFill="1" applyBorder="1" applyAlignment="1" applyProtection="1">
      <alignment horizontal="center" vertical="center" wrapText="1"/>
      <protection locked="0"/>
    </xf>
    <xf numFmtId="0" fontId="72" fillId="21" borderId="68" xfId="0" applyFont="1" applyFill="1" applyBorder="1" applyAlignment="1">
      <alignment horizontal="center" vertical="center" wrapText="1"/>
    </xf>
    <xf numFmtId="0" fontId="56" fillId="23" borderId="34" xfId="0" applyFont="1" applyFill="1" applyBorder="1" applyAlignment="1">
      <alignment horizontal="center" vertical="center"/>
    </xf>
    <xf numFmtId="0" fontId="55" fillId="23" borderId="5" xfId="0" applyFont="1" applyFill="1" applyBorder="1" applyAlignment="1">
      <alignment horizontal="center" vertical="center"/>
    </xf>
    <xf numFmtId="0" fontId="55" fillId="23" borderId="34" xfId="0" applyFont="1" applyFill="1" applyBorder="1" applyAlignment="1">
      <alignment horizontal="center" vertical="center"/>
    </xf>
    <xf numFmtId="0" fontId="55" fillId="23" borderId="21" xfId="0" applyFont="1" applyFill="1" applyBorder="1" applyAlignment="1">
      <alignment horizontal="center" vertical="center"/>
    </xf>
    <xf numFmtId="0" fontId="53" fillId="0" borderId="0" xfId="0" applyFont="1" applyAlignment="1">
      <alignment horizontal="center" vertical="center"/>
    </xf>
    <xf numFmtId="0" fontId="55" fillId="23" borderId="41" xfId="0" applyFont="1" applyFill="1" applyBorder="1" applyAlignment="1">
      <alignment horizontal="center" vertical="center"/>
    </xf>
    <xf numFmtId="0" fontId="55" fillId="23" borderId="18" xfId="0" applyFont="1" applyFill="1" applyBorder="1" applyAlignment="1">
      <alignment horizontal="center" vertical="center"/>
    </xf>
    <xf numFmtId="0" fontId="93" fillId="19" borderId="5" xfId="0" applyFont="1" applyFill="1" applyBorder="1" applyAlignment="1">
      <alignment vertical="top" wrapText="1"/>
    </xf>
    <xf numFmtId="0" fontId="93" fillId="19" borderId="5" xfId="0" applyFont="1" applyFill="1" applyBorder="1" applyAlignment="1">
      <alignment vertical="center" wrapText="1"/>
    </xf>
    <xf numFmtId="0" fontId="5" fillId="19" borderId="5" xfId="1" applyFont="1" applyFill="1" applyBorder="1" applyAlignment="1" applyProtection="1">
      <alignment horizontal="center" vertical="top" wrapText="1"/>
      <protection locked="0"/>
    </xf>
    <xf numFmtId="0" fontId="25" fillId="19" borderId="5" xfId="0" applyFont="1" applyFill="1" applyBorder="1" applyAlignment="1">
      <alignment vertical="center" wrapText="1"/>
    </xf>
    <xf numFmtId="0" fontId="5" fillId="19" borderId="29" xfId="1" applyFont="1" applyFill="1" applyBorder="1" applyAlignment="1" applyProtection="1">
      <alignment horizontal="center" vertical="center" wrapText="1"/>
      <protection locked="0"/>
    </xf>
    <xf numFmtId="0" fontId="5" fillId="28" borderId="18" xfId="1" applyFont="1" applyFill="1" applyBorder="1" applyAlignment="1" applyProtection="1">
      <alignment horizontal="center" vertical="center" wrapText="1"/>
      <protection locked="0"/>
    </xf>
    <xf numFmtId="0" fontId="89" fillId="0" borderId="68" xfId="0" applyFont="1" applyBorder="1" applyAlignment="1">
      <alignment horizontal="center" vertical="center"/>
    </xf>
    <xf numFmtId="0" fontId="87" fillId="33" borderId="5" xfId="0" applyFont="1" applyFill="1" applyBorder="1" applyAlignment="1">
      <alignment vertical="center" wrapText="1"/>
    </xf>
    <xf numFmtId="2" fontId="90" fillId="27" borderId="45" xfId="0" applyNumberFormat="1" applyFont="1" applyFill="1" applyBorder="1" applyAlignment="1">
      <alignment horizontal="center" vertical="center" wrapText="1"/>
    </xf>
    <xf numFmtId="0" fontId="37" fillId="11" borderId="23" xfId="0" applyFont="1" applyFill="1" applyBorder="1" applyAlignment="1">
      <alignment horizontal="center" vertical="center" wrapText="1"/>
    </xf>
    <xf numFmtId="0" fontId="11" fillId="11" borderId="23" xfId="0" applyFont="1" applyFill="1" applyBorder="1" applyAlignment="1">
      <alignment vertical="center" wrapText="1"/>
    </xf>
    <xf numFmtId="2" fontId="28" fillId="5" borderId="42" xfId="0" applyNumberFormat="1" applyFont="1" applyFill="1" applyBorder="1" applyAlignment="1">
      <alignment horizontal="center" vertical="top" wrapText="1"/>
    </xf>
    <xf numFmtId="1" fontId="28" fillId="2" borderId="45" xfId="0" applyNumberFormat="1" applyFont="1" applyFill="1" applyBorder="1" applyAlignment="1" applyProtection="1">
      <alignment horizontal="center" vertical="top" wrapText="1"/>
      <protection hidden="1"/>
    </xf>
    <xf numFmtId="0" fontId="28" fillId="2" borderId="51" xfId="0" applyFont="1" applyFill="1" applyBorder="1" applyAlignment="1" applyProtection="1">
      <alignment horizontal="center" vertical="top" wrapText="1"/>
      <protection hidden="1"/>
    </xf>
    <xf numFmtId="0" fontId="28" fillId="0" borderId="19" xfId="0" applyFont="1" applyBorder="1" applyAlignment="1">
      <alignment vertical="top" wrapText="1"/>
    </xf>
    <xf numFmtId="0" fontId="28" fillId="0" borderId="26" xfId="0" applyFont="1" applyBorder="1" applyAlignment="1">
      <alignment vertical="top" wrapText="1"/>
    </xf>
    <xf numFmtId="1" fontId="37" fillId="0" borderId="5" xfId="0" applyNumberFormat="1" applyFont="1" applyBorder="1" applyAlignment="1">
      <alignment horizontal="center" vertical="center"/>
    </xf>
    <xf numFmtId="2" fontId="25" fillId="13" borderId="5" xfId="0" applyNumberFormat="1" applyFont="1" applyFill="1" applyBorder="1" applyAlignment="1">
      <alignment horizontal="center" vertical="top" wrapText="1"/>
    </xf>
    <xf numFmtId="2" fontId="5" fillId="7" borderId="42" xfId="0" applyNumberFormat="1" applyFont="1" applyFill="1" applyBorder="1" applyAlignment="1">
      <alignment horizontal="center" vertical="top"/>
    </xf>
    <xf numFmtId="0" fontId="39" fillId="0" borderId="34" xfId="0" applyFont="1" applyBorder="1" applyAlignment="1">
      <alignment vertical="top" wrapText="1"/>
    </xf>
    <xf numFmtId="0" fontId="5" fillId="14" borderId="44" xfId="0" applyFont="1" applyFill="1" applyBorder="1" applyAlignment="1">
      <alignment horizontal="left" vertical="top" wrapText="1"/>
    </xf>
    <xf numFmtId="1" fontId="5" fillId="14" borderId="3" xfId="0" applyNumberFormat="1" applyFont="1" applyFill="1" applyBorder="1" applyAlignment="1">
      <alignment horizontal="center" vertical="top"/>
    </xf>
    <xf numFmtId="0" fontId="5" fillId="14" borderId="58" xfId="0" applyFont="1" applyFill="1" applyBorder="1" applyAlignment="1">
      <alignment horizontal="center" vertical="top" wrapText="1"/>
    </xf>
    <xf numFmtId="0" fontId="5" fillId="14" borderId="45" xfId="0" applyFont="1" applyFill="1" applyBorder="1" applyAlignment="1">
      <alignment horizontal="center" vertical="top" wrapText="1"/>
    </xf>
    <xf numFmtId="0" fontId="11" fillId="11" borderId="5" xfId="0" applyFont="1" applyFill="1" applyBorder="1" applyAlignment="1">
      <alignment vertical="center" wrapText="1"/>
    </xf>
    <xf numFmtId="1" fontId="37" fillId="0" borderId="5" xfId="0" applyNumberFormat="1" applyFont="1" applyBorder="1" applyAlignment="1">
      <alignment horizontal="center" vertical="center" wrapText="1"/>
    </xf>
    <xf numFmtId="0" fontId="5" fillId="0" borderId="0" xfId="0" applyFont="1" applyAlignment="1">
      <alignment vertical="center"/>
    </xf>
    <xf numFmtId="0" fontId="28" fillId="2" borderId="45" xfId="0" applyFont="1" applyFill="1" applyBorder="1" applyAlignment="1">
      <alignment horizontal="center" vertical="top" wrapText="1"/>
    </xf>
    <xf numFmtId="1" fontId="8" fillId="0" borderId="5" xfId="0" applyNumberFormat="1" applyFont="1" applyBorder="1" applyAlignment="1">
      <alignment horizontal="center" vertical="center" wrapText="1"/>
    </xf>
    <xf numFmtId="0" fontId="31" fillId="0" borderId="0" xfId="0" applyFont="1" applyAlignment="1">
      <alignment vertical="center" wrapText="1"/>
    </xf>
    <xf numFmtId="0" fontId="28" fillId="0" borderId="51" xfId="0" applyFont="1" applyBorder="1" applyAlignment="1">
      <alignment horizontal="center" vertical="top" wrapText="1"/>
    </xf>
    <xf numFmtId="2" fontId="5" fillId="14" borderId="33" xfId="0" applyNumberFormat="1" applyFont="1" applyFill="1" applyBorder="1" applyAlignment="1">
      <alignment horizontal="center" vertical="top" wrapText="1"/>
    </xf>
    <xf numFmtId="1" fontId="5" fillId="14" borderId="6" xfId="0" applyNumberFormat="1" applyFont="1" applyFill="1" applyBorder="1" applyAlignment="1">
      <alignment horizontal="center" vertical="top" wrapText="1"/>
    </xf>
    <xf numFmtId="0" fontId="5" fillId="0" borderId="10" xfId="0" applyFont="1" applyBorder="1" applyAlignment="1">
      <alignment horizontal="center" vertical="top" wrapText="1"/>
    </xf>
    <xf numFmtId="1" fontId="36" fillId="0" borderId="5" xfId="0" applyNumberFormat="1" applyFont="1" applyBorder="1" applyAlignment="1">
      <alignment horizontal="center" vertical="center" wrapText="1"/>
    </xf>
    <xf numFmtId="0" fontId="11" fillId="11" borderId="5" xfId="0" applyFont="1" applyFill="1" applyBorder="1" applyAlignment="1">
      <alignment horizontal="left" vertical="center" wrapText="1"/>
    </xf>
    <xf numFmtId="0" fontId="31" fillId="0" borderId="0" xfId="0" applyFont="1" applyAlignment="1">
      <alignment vertical="center"/>
    </xf>
    <xf numFmtId="1" fontId="37" fillId="0" borderId="23" xfId="0" applyNumberFormat="1" applyFont="1" applyBorder="1" applyAlignment="1">
      <alignment horizontal="center" vertical="center"/>
    </xf>
    <xf numFmtId="2" fontId="5" fillId="34" borderId="5" xfId="0" applyNumberFormat="1" applyFont="1" applyFill="1" applyBorder="1" applyAlignment="1">
      <alignment vertical="top" wrapText="1"/>
    </xf>
    <xf numFmtId="0" fontId="5" fillId="34" borderId="5" xfId="0" applyFont="1" applyFill="1" applyBorder="1" applyAlignment="1">
      <alignment horizontal="left" vertical="top" wrapText="1"/>
    </xf>
    <xf numFmtId="2" fontId="5" fillId="0" borderId="14" xfId="0" applyNumberFormat="1" applyFont="1" applyBorder="1" applyAlignment="1">
      <alignment horizontal="left" vertical="top" wrapText="1"/>
    </xf>
    <xf numFmtId="1" fontId="5" fillId="35" borderId="5" xfId="0" applyNumberFormat="1" applyFont="1" applyFill="1" applyBorder="1" applyAlignment="1">
      <alignment horizontal="center" vertical="top" wrapText="1"/>
    </xf>
    <xf numFmtId="2" fontId="5" fillId="34" borderId="5" xfId="0" applyNumberFormat="1" applyFont="1" applyFill="1" applyBorder="1" applyAlignment="1">
      <alignment horizontal="center" vertical="top" wrapText="1"/>
    </xf>
    <xf numFmtId="1" fontId="5" fillId="0" borderId="14" xfId="0" applyNumberFormat="1" applyFont="1" applyBorder="1" applyAlignment="1">
      <alignment vertical="top" wrapText="1"/>
    </xf>
    <xf numFmtId="1" fontId="5" fillId="0" borderId="15" xfId="0" applyNumberFormat="1" applyFont="1" applyBorder="1" applyAlignment="1">
      <alignment vertical="top" wrapText="1"/>
    </xf>
    <xf numFmtId="2" fontId="5" fillId="0" borderId="56" xfId="0" applyNumberFormat="1" applyFont="1" applyBorder="1" applyAlignment="1">
      <alignment horizontal="left" vertical="top" wrapText="1"/>
    </xf>
    <xf numFmtId="1" fontId="5" fillId="0" borderId="56" xfId="0" applyNumberFormat="1" applyFont="1" applyBorder="1" applyAlignment="1">
      <alignment horizontal="center" vertical="top" wrapText="1"/>
    </xf>
    <xf numFmtId="0" fontId="16" fillId="15" borderId="5" xfId="0" applyFont="1" applyFill="1" applyBorder="1" applyAlignment="1">
      <alignment horizontal="center" vertical="center"/>
    </xf>
    <xf numFmtId="0" fontId="5" fillId="0" borderId="55" xfId="0" applyFont="1" applyBorder="1" applyAlignment="1">
      <alignment vertical="center"/>
    </xf>
    <xf numFmtId="0" fontId="5" fillId="0" borderId="27" xfId="0" applyFont="1" applyBorder="1" applyAlignment="1">
      <alignment vertical="center"/>
    </xf>
    <xf numFmtId="0" fontId="5" fillId="0" borderId="40" xfId="0" applyFont="1" applyBorder="1" applyAlignment="1">
      <alignment vertical="center"/>
    </xf>
    <xf numFmtId="0" fontId="5" fillId="34" borderId="5" xfId="0" applyFont="1" applyFill="1" applyBorder="1" applyAlignment="1">
      <alignment horizontal="center" vertical="top" wrapText="1"/>
    </xf>
    <xf numFmtId="2" fontId="5" fillId="5" borderId="51" xfId="0" applyNumberFormat="1" applyFont="1" applyFill="1" applyBorder="1" applyAlignment="1">
      <alignment horizontal="center" vertical="top" wrapText="1"/>
    </xf>
    <xf numFmtId="2" fontId="5" fillId="13" borderId="5" xfId="0" applyNumberFormat="1" applyFont="1" applyFill="1" applyBorder="1" applyAlignment="1">
      <alignment horizontal="center" vertical="top"/>
    </xf>
    <xf numFmtId="1" fontId="36" fillId="0" borderId="5" xfId="0" applyNumberFormat="1" applyFont="1" applyBorder="1" applyAlignment="1">
      <alignment horizontal="center" vertical="center"/>
    </xf>
    <xf numFmtId="2" fontId="16" fillId="13" borderId="0" xfId="0" applyNumberFormat="1" applyFont="1" applyFill="1" applyAlignment="1" applyProtection="1">
      <alignment horizontal="center" vertical="center" wrapText="1"/>
      <protection hidden="1"/>
    </xf>
    <xf numFmtId="0" fontId="5" fillId="2" borderId="11" xfId="0" applyFont="1" applyFill="1" applyBorder="1" applyAlignment="1">
      <alignment horizontal="center" vertical="top" wrapText="1"/>
    </xf>
    <xf numFmtId="2" fontId="5" fillId="13" borderId="22" xfId="0" applyNumberFormat="1" applyFont="1" applyFill="1" applyBorder="1" applyAlignment="1">
      <alignment horizontal="center" vertical="top"/>
    </xf>
    <xf numFmtId="0" fontId="26" fillId="0" borderId="0" xfId="0" applyFont="1" applyAlignment="1">
      <alignment vertical="center"/>
    </xf>
    <xf numFmtId="1" fontId="5" fillId="0" borderId="62" xfId="0" applyNumberFormat="1" applyFont="1" applyBorder="1" applyAlignment="1">
      <alignment horizontal="center" vertical="top" wrapText="1"/>
    </xf>
    <xf numFmtId="1" fontId="5" fillId="0" borderId="71" xfId="0" applyNumberFormat="1" applyFont="1" applyBorder="1" applyAlignment="1">
      <alignment horizontal="center" vertical="top" wrapText="1"/>
    </xf>
    <xf numFmtId="1" fontId="5" fillId="0" borderId="27" xfId="0" applyNumberFormat="1" applyFont="1" applyBorder="1" applyAlignment="1">
      <alignment horizontal="center" vertical="top" wrapText="1"/>
    </xf>
    <xf numFmtId="2" fontId="26" fillId="15" borderId="5" xfId="0" applyNumberFormat="1" applyFont="1" applyFill="1" applyBorder="1" applyAlignment="1">
      <alignment horizontal="center" vertical="top"/>
    </xf>
    <xf numFmtId="1" fontId="26" fillId="2" borderId="76" xfId="0" applyNumberFormat="1" applyFont="1" applyFill="1" applyBorder="1" applyAlignment="1">
      <alignment horizontal="center" vertical="top" wrapText="1"/>
    </xf>
    <xf numFmtId="2" fontId="26" fillId="34" borderId="5" xfId="0" applyNumberFormat="1" applyFont="1" applyFill="1" applyBorder="1" applyAlignment="1">
      <alignment horizontal="center" vertical="top" wrapText="1"/>
    </xf>
    <xf numFmtId="0" fontId="23" fillId="0" borderId="0" xfId="0" applyFont="1" applyAlignment="1">
      <alignment vertical="center" wrapText="1"/>
    </xf>
    <xf numFmtId="0" fontId="23" fillId="0" borderId="44" xfId="0" applyFont="1" applyBorder="1" applyAlignment="1">
      <alignment horizontal="center" vertical="top" wrapText="1"/>
    </xf>
    <xf numFmtId="0" fontId="23" fillId="0" borderId="45" xfId="0" applyFont="1" applyBorder="1" applyAlignment="1">
      <alignment horizontal="center" vertical="top" wrapText="1"/>
    </xf>
    <xf numFmtId="0" fontId="23" fillId="0" borderId="43" xfId="0" applyFont="1" applyBorder="1" applyAlignment="1">
      <alignment vertical="top" wrapText="1"/>
    </xf>
    <xf numFmtId="0" fontId="11" fillId="11" borderId="34" xfId="0" applyFont="1" applyFill="1" applyBorder="1" applyAlignment="1">
      <alignment vertical="center" wrapText="1"/>
    </xf>
    <xf numFmtId="0" fontId="37" fillId="0" borderId="1" xfId="0" applyFont="1" applyBorder="1" applyAlignment="1">
      <alignment horizontal="center" vertical="center" wrapText="1"/>
    </xf>
    <xf numFmtId="0" fontId="5" fillId="0" borderId="54" xfId="0" applyFont="1" applyBorder="1" applyAlignment="1">
      <alignment horizontal="left" vertical="top" wrapText="1"/>
    </xf>
    <xf numFmtId="0" fontId="36" fillId="0" borderId="5" xfId="0" applyFont="1" applyBorder="1" applyAlignment="1">
      <alignment horizontal="center" vertical="center"/>
    </xf>
    <xf numFmtId="0" fontId="26" fillId="0" borderId="17" xfId="0" applyFont="1" applyBorder="1" applyAlignment="1">
      <alignment horizontal="left" vertical="top" wrapText="1"/>
    </xf>
    <xf numFmtId="0" fontId="26" fillId="34" borderId="5" xfId="0" applyFont="1" applyFill="1" applyBorder="1" applyAlignment="1">
      <alignment horizontal="center" vertical="top" wrapText="1"/>
    </xf>
    <xf numFmtId="0" fontId="26" fillId="0" borderId="15" xfId="0" applyFont="1" applyBorder="1" applyAlignment="1">
      <alignment vertical="top" wrapText="1"/>
    </xf>
    <xf numFmtId="0" fontId="28" fillId="0" borderId="43" xfId="0" applyFont="1" applyBorder="1" applyAlignment="1">
      <alignment horizontal="left" vertical="top" wrapText="1"/>
    </xf>
    <xf numFmtId="2" fontId="26" fillId="15" borderId="5" xfId="0" applyNumberFormat="1" applyFont="1" applyFill="1" applyBorder="1" applyAlignment="1">
      <alignment horizontal="center" vertical="top" wrapText="1"/>
    </xf>
    <xf numFmtId="0" fontId="37" fillId="0" borderId="5" xfId="0" applyFont="1" applyBorder="1" applyAlignment="1">
      <alignment horizontal="center" vertical="center" wrapText="1"/>
    </xf>
    <xf numFmtId="1" fontId="75" fillId="0" borderId="23" xfId="0" applyNumberFormat="1" applyFont="1" applyBorder="1" applyAlignment="1">
      <alignment horizontal="center" vertical="center"/>
    </xf>
    <xf numFmtId="0" fontId="76" fillId="0" borderId="0" xfId="0" applyFont="1" applyAlignment="1">
      <alignment vertical="center"/>
    </xf>
    <xf numFmtId="0" fontId="79" fillId="0" borderId="11" xfId="0" applyFont="1" applyBorder="1" applyAlignment="1">
      <alignment vertical="top" wrapText="1"/>
    </xf>
    <xf numFmtId="2" fontId="79" fillId="35" borderId="5" xfId="0" applyNumberFormat="1" applyFont="1" applyFill="1" applyBorder="1" applyAlignment="1">
      <alignment horizontal="center" vertical="top" wrapText="1"/>
    </xf>
    <xf numFmtId="0" fontId="79" fillId="35" borderId="5" xfId="0" applyFont="1" applyFill="1" applyBorder="1" applyAlignment="1">
      <alignment horizontal="center" vertical="top" wrapText="1"/>
    </xf>
    <xf numFmtId="0" fontId="79" fillId="0" borderId="19" xfId="0" applyFont="1" applyBorder="1" applyAlignment="1">
      <alignment vertical="top" wrapText="1"/>
    </xf>
    <xf numFmtId="0" fontId="79" fillId="0" borderId="14" xfId="0" applyFont="1" applyBorder="1" applyAlignment="1">
      <alignment horizontal="left" vertical="top" wrapText="1"/>
    </xf>
    <xf numFmtId="0" fontId="79" fillId="0" borderId="15" xfId="0" applyFont="1" applyBorder="1" applyAlignment="1">
      <alignment horizontal="left" vertical="top" wrapText="1"/>
    </xf>
    <xf numFmtId="0" fontId="79" fillId="0" borderId="6" xfId="0" applyFont="1" applyBorder="1" applyAlignment="1">
      <alignment horizontal="left" vertical="top" wrapText="1"/>
    </xf>
    <xf numFmtId="0" fontId="79" fillId="0" borderId="50" xfId="0" applyFont="1" applyBorder="1" applyAlignment="1">
      <alignment horizontal="left" vertical="top" wrapText="1"/>
    </xf>
    <xf numFmtId="0" fontId="79" fillId="0" borderId="17" xfId="0" applyFont="1" applyBorder="1" applyAlignment="1">
      <alignment horizontal="left" vertical="top" wrapText="1"/>
    </xf>
    <xf numFmtId="0" fontId="79" fillId="0" borderId="51" xfId="0" applyFont="1" applyBorder="1" applyAlignment="1">
      <alignment horizontal="center" vertical="top" wrapText="1"/>
    </xf>
    <xf numFmtId="1" fontId="37" fillId="0" borderId="23" xfId="0" applyNumberFormat="1" applyFont="1" applyBorder="1" applyAlignment="1">
      <alignment horizontal="center" vertical="center" wrapText="1"/>
    </xf>
    <xf numFmtId="0" fontId="5" fillId="25" borderId="1" xfId="0" applyFont="1" applyFill="1" applyBorder="1" applyAlignment="1">
      <alignment horizontal="left" vertical="center" wrapText="1"/>
    </xf>
    <xf numFmtId="0" fontId="5" fillId="25" borderId="39" xfId="0" applyFont="1" applyFill="1" applyBorder="1" applyAlignment="1">
      <alignment horizontal="left" vertical="center" wrapText="1"/>
    </xf>
    <xf numFmtId="0" fontId="5" fillId="25" borderId="47" xfId="0" applyFont="1" applyFill="1" applyBorder="1" applyAlignment="1">
      <alignment horizontal="left" vertical="center" wrapText="1"/>
    </xf>
    <xf numFmtId="2" fontId="6" fillId="15" borderId="43" xfId="0" applyNumberFormat="1" applyFont="1" applyFill="1" applyBorder="1" applyAlignment="1">
      <alignment horizontal="center" vertical="center" wrapText="1"/>
    </xf>
    <xf numFmtId="0" fontId="5" fillId="15" borderId="61" xfId="0" applyFont="1" applyFill="1" applyBorder="1" applyAlignment="1">
      <alignment horizontal="center" vertical="center" wrapText="1"/>
    </xf>
    <xf numFmtId="2" fontId="6" fillId="17" borderId="43" xfId="0" applyNumberFormat="1" applyFont="1" applyFill="1" applyBorder="1" applyAlignment="1">
      <alignment horizontal="center" vertical="center" wrapText="1"/>
    </xf>
    <xf numFmtId="0" fontId="5" fillId="17" borderId="61" xfId="0" applyFont="1" applyFill="1" applyBorder="1" applyAlignment="1">
      <alignment horizontal="center" vertical="center" wrapText="1"/>
    </xf>
    <xf numFmtId="2" fontId="85" fillId="0" borderId="0" xfId="0" applyNumberFormat="1" applyFont="1">
      <alignment vertical="top"/>
    </xf>
    <xf numFmtId="0" fontId="41" fillId="0" borderId="25" xfId="0" applyFont="1" applyBorder="1" applyAlignment="1">
      <alignment vertical="center" wrapText="1"/>
    </xf>
    <xf numFmtId="0" fontId="41" fillId="0" borderId="26" xfId="0" applyFont="1" applyBorder="1" applyAlignment="1">
      <alignment vertical="center" wrapText="1"/>
    </xf>
    <xf numFmtId="49" fontId="41" fillId="0" borderId="26" xfId="0" applyNumberFormat="1" applyFont="1" applyBorder="1" applyAlignment="1">
      <alignment vertical="center" wrapText="1"/>
    </xf>
    <xf numFmtId="49" fontId="41" fillId="0" borderId="20" xfId="0" applyNumberFormat="1" applyFont="1" applyBorder="1" applyAlignment="1">
      <alignment vertical="center" wrapText="1"/>
    </xf>
    <xf numFmtId="49" fontId="41" fillId="0" borderId="78" xfId="0" applyNumberFormat="1" applyFont="1" applyBorder="1" applyAlignment="1">
      <alignment vertical="center" wrapText="1"/>
    </xf>
    <xf numFmtId="0" fontId="41" fillId="0" borderId="25" xfId="0" applyFont="1" applyBorder="1" applyAlignment="1">
      <alignment horizontal="left" vertical="top" wrapText="1"/>
    </xf>
    <xf numFmtId="0" fontId="41" fillId="0" borderId="26" xfId="0" applyFont="1" applyBorder="1" applyAlignment="1">
      <alignment horizontal="left" vertical="top" wrapText="1"/>
    </xf>
    <xf numFmtId="0" fontId="41" fillId="0" borderId="20" xfId="0" applyFont="1" applyBorder="1" applyAlignment="1">
      <alignment horizontal="left" vertical="top" wrapText="1"/>
    </xf>
    <xf numFmtId="0" fontId="41" fillId="0" borderId="34" xfId="0" applyFont="1" applyBorder="1" applyAlignment="1">
      <alignment horizontal="left" vertical="top" wrapText="1"/>
    </xf>
    <xf numFmtId="0" fontId="41" fillId="0" borderId="78" xfId="0" applyFont="1" applyBorder="1" applyAlignment="1">
      <alignment horizontal="left" vertical="top" wrapText="1"/>
    </xf>
    <xf numFmtId="0" fontId="41" fillId="0" borderId="25" xfId="0" applyFont="1" applyBorder="1" applyAlignment="1">
      <alignment vertical="top" wrapText="1"/>
    </xf>
    <xf numFmtId="0" fontId="41" fillId="0" borderId="26" xfId="0" applyFont="1" applyBorder="1" applyAlignment="1">
      <alignment vertical="top" wrapText="1"/>
    </xf>
    <xf numFmtId="0" fontId="41" fillId="0" borderId="64" xfId="0" applyFont="1" applyBorder="1" applyAlignment="1">
      <alignment vertical="top" wrapText="1"/>
    </xf>
    <xf numFmtId="0" fontId="41" fillId="0" borderId="20" xfId="0" applyFont="1" applyBorder="1" applyAlignment="1">
      <alignment vertical="top" wrapText="1"/>
    </xf>
    <xf numFmtId="0" fontId="41" fillId="0" borderId="53" xfId="0" applyFont="1" applyBorder="1" applyAlignment="1">
      <alignment horizontal="left" vertical="top"/>
    </xf>
    <xf numFmtId="0" fontId="41" fillId="0" borderId="19" xfId="0" applyFont="1" applyBorder="1" applyAlignment="1">
      <alignment horizontal="left" vertical="top" wrapText="1"/>
    </xf>
    <xf numFmtId="0" fontId="41" fillId="0" borderId="34" xfId="0" applyFont="1" applyBorder="1" applyAlignment="1">
      <alignment vertical="top" wrapText="1"/>
    </xf>
    <xf numFmtId="0" fontId="41" fillId="0" borderId="19" xfId="0" applyFont="1" applyBorder="1" applyAlignment="1">
      <alignment vertical="top" wrapText="1"/>
    </xf>
    <xf numFmtId="0" fontId="41" fillId="0" borderId="68" xfId="0" applyFont="1" applyBorder="1" applyAlignment="1">
      <alignment horizontal="left" vertical="top" wrapText="1"/>
    </xf>
    <xf numFmtId="0" fontId="41" fillId="0" borderId="22" xfId="0" applyFont="1" applyBorder="1" applyAlignment="1">
      <alignment horizontal="left" vertical="top" wrapText="1"/>
    </xf>
    <xf numFmtId="0" fontId="41" fillId="0" borderId="64" xfId="0" applyFont="1" applyBorder="1" applyAlignment="1">
      <alignment horizontal="left" vertical="top" wrapText="1"/>
    </xf>
    <xf numFmtId="0" fontId="5" fillId="0" borderId="21" xfId="0" applyFont="1" applyBorder="1" applyAlignment="1" applyProtection="1">
      <alignment horizontal="center" vertical="top"/>
      <protection locked="0"/>
    </xf>
    <xf numFmtId="0" fontId="41" fillId="0" borderId="23" xfId="0" applyFont="1" applyBorder="1" applyAlignment="1">
      <alignment vertical="top" wrapText="1"/>
    </xf>
    <xf numFmtId="0" fontId="41" fillId="0" borderId="46" xfId="0" applyFont="1" applyBorder="1" applyAlignment="1">
      <alignment vertical="top" wrapText="1"/>
    </xf>
    <xf numFmtId="0" fontId="41" fillId="0" borderId="42" xfId="0" applyFont="1" applyBorder="1" applyAlignment="1">
      <alignment vertical="top" wrapText="1"/>
    </xf>
    <xf numFmtId="2" fontId="5" fillId="0" borderId="26" xfId="0" applyNumberFormat="1" applyFont="1" applyBorder="1" applyAlignment="1">
      <alignment vertical="top" wrapText="1"/>
    </xf>
    <xf numFmtId="0" fontId="5" fillId="29" borderId="34" xfId="1" applyFont="1" applyFill="1" applyBorder="1" applyAlignment="1">
      <alignment vertical="top" wrapText="1"/>
    </xf>
    <xf numFmtId="0" fontId="5" fillId="28" borderId="29" xfId="1" applyFont="1" applyFill="1" applyBorder="1" applyAlignment="1" applyProtection="1">
      <alignment horizontal="center" vertical="top" wrapText="1"/>
      <protection locked="0"/>
    </xf>
    <xf numFmtId="0" fontId="5" fillId="28" borderId="21" xfId="1" applyFont="1" applyFill="1" applyBorder="1" applyAlignment="1" applyProtection="1">
      <alignment horizontal="center" vertical="top" wrapText="1"/>
      <protection locked="0"/>
    </xf>
    <xf numFmtId="0" fontId="5" fillId="28" borderId="21" xfId="1" applyFont="1" applyFill="1" applyBorder="1" applyAlignment="1" applyProtection="1">
      <alignment horizontal="center" vertical="center" wrapText="1"/>
      <protection locked="0"/>
    </xf>
    <xf numFmtId="1" fontId="10" fillId="0" borderId="27" xfId="1" applyNumberFormat="1" applyBorder="1" applyAlignment="1" applyProtection="1">
      <alignment horizontal="center" vertical="center"/>
      <protection locked="0"/>
    </xf>
    <xf numFmtId="0" fontId="44" fillId="0" borderId="5" xfId="0" applyFont="1" applyBorder="1" applyAlignment="1" applyProtection="1">
      <alignment horizontal="center" vertical="top" wrapText="1"/>
      <protection locked="0"/>
    </xf>
    <xf numFmtId="0" fontId="44" fillId="0" borderId="21" xfId="0" applyFont="1" applyBorder="1" applyAlignment="1" applyProtection="1">
      <alignment horizontal="center" vertical="top" wrapText="1"/>
      <protection locked="0"/>
    </xf>
    <xf numFmtId="2" fontId="106" fillId="14" borderId="0" xfId="0" applyNumberFormat="1" applyFont="1" applyFill="1" applyAlignment="1">
      <alignment horizontal="center"/>
    </xf>
    <xf numFmtId="0" fontId="106" fillId="14" borderId="0" xfId="0" applyFont="1" applyFill="1" applyAlignment="1">
      <alignment horizontal="center"/>
    </xf>
    <xf numFmtId="2" fontId="106" fillId="14" borderId="0" xfId="0" applyNumberFormat="1" applyFont="1" applyFill="1" applyAlignment="1">
      <alignment horizontal="center" vertical="top"/>
    </xf>
    <xf numFmtId="2" fontId="107" fillId="14" borderId="0" xfId="0" applyNumberFormat="1" applyFont="1" applyFill="1" applyAlignment="1">
      <alignment horizontal="center" vertical="top"/>
    </xf>
    <xf numFmtId="0" fontId="87" fillId="0" borderId="68" xfId="0" applyFont="1" applyBorder="1" applyAlignment="1">
      <alignment horizontal="center" vertical="center" wrapText="1"/>
    </xf>
    <xf numFmtId="0" fontId="87" fillId="0" borderId="59" xfId="0" applyFont="1" applyBorder="1" applyAlignment="1">
      <alignment vertical="center" wrapText="1"/>
    </xf>
    <xf numFmtId="2" fontId="87" fillId="0" borderId="59" xfId="0" applyNumberFormat="1" applyFont="1" applyBorder="1" applyAlignment="1">
      <alignment horizontal="left" vertical="center" wrapText="1"/>
    </xf>
    <xf numFmtId="2" fontId="87" fillId="0" borderId="30" xfId="0" applyNumberFormat="1" applyFont="1" applyBorder="1" applyAlignment="1">
      <alignment horizontal="left" vertical="center" wrapText="1"/>
    </xf>
    <xf numFmtId="0" fontId="90" fillId="27" borderId="61" xfId="0" applyFont="1" applyFill="1" applyBorder="1" applyAlignment="1">
      <alignment horizontal="center" vertical="center" wrapText="1"/>
    </xf>
    <xf numFmtId="0" fontId="5" fillId="19" borderId="27" xfId="0" applyFont="1" applyFill="1" applyBorder="1" applyAlignment="1" applyProtection="1">
      <alignment horizontal="center" vertical="center" wrapText="1"/>
      <protection locked="0"/>
    </xf>
    <xf numFmtId="0" fontId="5" fillId="0" borderId="27" xfId="0" applyFont="1" applyBorder="1" applyAlignment="1" applyProtection="1">
      <alignment horizontal="center" vertical="center" wrapText="1"/>
      <protection locked="0"/>
    </xf>
    <xf numFmtId="0" fontId="10" fillId="0" borderId="27" xfId="0" applyFont="1" applyBorder="1" applyAlignment="1" applyProtection="1">
      <alignment horizontal="center" vertical="center"/>
      <protection locked="0"/>
    </xf>
    <xf numFmtId="0" fontId="10" fillId="19" borderId="27" xfId="0" applyFont="1" applyFill="1" applyBorder="1" applyAlignment="1" applyProtection="1">
      <alignment horizontal="center" vertical="center"/>
      <protection locked="0"/>
    </xf>
    <xf numFmtId="1" fontId="45" fillId="19" borderId="27" xfId="1" applyNumberFormat="1" applyFont="1" applyFill="1" applyBorder="1" applyAlignment="1">
      <alignment horizontal="center" vertical="center"/>
    </xf>
    <xf numFmtId="2" fontId="45" fillId="19" borderId="27" xfId="1" applyNumberFormat="1" applyFont="1" applyFill="1" applyBorder="1" applyAlignment="1">
      <alignment horizontal="center" vertical="center"/>
    </xf>
    <xf numFmtId="0" fontId="5" fillId="0" borderId="28" xfId="0" applyFont="1" applyBorder="1" applyAlignment="1" applyProtection="1">
      <alignment horizontal="center" vertical="center" wrapText="1"/>
      <protection locked="0"/>
    </xf>
    <xf numFmtId="0" fontId="5" fillId="19" borderId="27" xfId="0" applyFont="1" applyFill="1" applyBorder="1" applyAlignment="1" applyProtection="1">
      <alignment horizontal="center" vertical="top" wrapText="1"/>
      <protection locked="0"/>
    </xf>
    <xf numFmtId="0" fontId="53" fillId="19" borderId="27" xfId="0" applyFont="1" applyFill="1" applyBorder="1" applyAlignment="1" applyProtection="1">
      <alignment horizontal="center" vertical="top"/>
      <protection locked="0"/>
    </xf>
    <xf numFmtId="0" fontId="10" fillId="0" borderId="27" xfId="0" applyFont="1" applyBorder="1" applyAlignment="1" applyProtection="1">
      <alignment horizontal="center" vertical="top"/>
      <protection locked="0"/>
    </xf>
    <xf numFmtId="2" fontId="45" fillId="19" borderId="40" xfId="1" applyNumberFormat="1" applyFont="1" applyFill="1" applyBorder="1" applyAlignment="1">
      <alignment horizontal="center" vertical="center"/>
    </xf>
    <xf numFmtId="49" fontId="6" fillId="0" borderId="18" xfId="0" applyNumberFormat="1" applyFont="1" applyBorder="1" applyAlignment="1" applyProtection="1">
      <alignment horizontal="center" wrapText="1"/>
      <protection locked="0"/>
    </xf>
    <xf numFmtId="49" fontId="4" fillId="0" borderId="21" xfId="0" applyNumberFormat="1" applyFont="1" applyBorder="1" applyAlignment="1" applyProtection="1">
      <alignment horizontal="center" vertical="top" wrapText="1"/>
      <protection locked="0"/>
    </xf>
    <xf numFmtId="49" fontId="5" fillId="0" borderId="46" xfId="0" applyNumberFormat="1" applyFont="1" applyBorder="1" applyAlignment="1" applyProtection="1">
      <alignment horizontal="center" vertical="top" wrapText="1"/>
      <protection locked="0"/>
    </xf>
    <xf numFmtId="49" fontId="17" fillId="0" borderId="24" xfId="0" applyNumberFormat="1" applyFont="1" applyBorder="1" applyAlignment="1" applyProtection="1">
      <alignment vertical="top" wrapText="1"/>
      <protection locked="0"/>
    </xf>
    <xf numFmtId="0" fontId="106" fillId="14" borderId="0" xfId="0" applyFont="1" applyFill="1" applyAlignment="1">
      <alignment horizontal="center" vertical="top"/>
    </xf>
    <xf numFmtId="0" fontId="93" fillId="19" borderId="5" xfId="0" applyFont="1" applyFill="1" applyBorder="1" applyAlignment="1" applyProtection="1">
      <alignment horizontal="center" vertical="center" wrapText="1"/>
      <protection locked="0"/>
    </xf>
    <xf numFmtId="0" fontId="44" fillId="0" borderId="21" xfId="0" applyFont="1" applyBorder="1" applyAlignment="1" applyProtection="1">
      <alignment horizontal="center" vertical="top"/>
      <protection locked="0"/>
    </xf>
    <xf numFmtId="0" fontId="44" fillId="36" borderId="21" xfId="0" applyFont="1" applyFill="1" applyBorder="1" applyAlignment="1" applyProtection="1">
      <alignment horizontal="center" vertical="top" wrapText="1"/>
      <protection locked="0"/>
    </xf>
    <xf numFmtId="0" fontId="44" fillId="37" borderId="21" xfId="0" applyFont="1" applyFill="1" applyBorder="1" applyAlignment="1" applyProtection="1">
      <alignment horizontal="center" vertical="top"/>
      <protection locked="0"/>
    </xf>
    <xf numFmtId="0" fontId="44" fillId="0" borderId="72" xfId="0" applyFont="1" applyBorder="1" applyAlignment="1" applyProtection="1">
      <alignment horizontal="center" vertical="top" wrapText="1"/>
      <protection locked="0"/>
    </xf>
    <xf numFmtId="0" fontId="44" fillId="36" borderId="18" xfId="0" applyFont="1" applyFill="1" applyBorder="1" applyAlignment="1" applyProtection="1">
      <alignment horizontal="center" vertical="top" wrapText="1"/>
      <protection locked="0"/>
    </xf>
    <xf numFmtId="0" fontId="25" fillId="19" borderId="5" xfId="0" applyFont="1" applyFill="1" applyBorder="1" applyAlignment="1" applyProtection="1">
      <alignment horizontal="center" vertical="center" wrapText="1"/>
      <protection locked="0"/>
    </xf>
    <xf numFmtId="0" fontId="79" fillId="0" borderId="42" xfId="0" applyFont="1" applyBorder="1" applyAlignment="1">
      <alignment vertical="top" wrapText="1"/>
    </xf>
    <xf numFmtId="1" fontId="79" fillId="2" borderId="65" xfId="0" applyNumberFormat="1" applyFont="1" applyFill="1" applyBorder="1" applyAlignment="1">
      <alignment horizontal="center" vertical="top" wrapText="1"/>
    </xf>
    <xf numFmtId="0" fontId="79" fillId="2" borderId="35" xfId="0" applyFont="1" applyFill="1" applyBorder="1" applyAlignment="1">
      <alignment horizontal="center" vertical="top" wrapText="1"/>
    </xf>
    <xf numFmtId="2" fontId="79" fillId="7" borderId="5" xfId="0" applyNumberFormat="1" applyFont="1" applyFill="1" applyBorder="1" applyAlignment="1">
      <alignment horizontal="center" vertical="top" wrapText="1"/>
    </xf>
    <xf numFmtId="2" fontId="79" fillId="2" borderId="28" xfId="0" applyNumberFormat="1" applyFont="1" applyFill="1" applyBorder="1" applyAlignment="1">
      <alignment horizontal="center" vertical="top" wrapText="1"/>
    </xf>
    <xf numFmtId="2" fontId="79" fillId="2" borderId="27" xfId="0" applyNumberFormat="1" applyFont="1" applyFill="1" applyBorder="1" applyAlignment="1">
      <alignment horizontal="center" vertical="top" wrapText="1"/>
    </xf>
    <xf numFmtId="2" fontId="79" fillId="2" borderId="40" xfId="0" applyNumberFormat="1" applyFont="1" applyFill="1" applyBorder="1" applyAlignment="1">
      <alignment horizontal="center" vertical="top" wrapText="1"/>
    </xf>
    <xf numFmtId="0" fontId="42" fillId="2" borderId="39" xfId="0" applyFont="1" applyFill="1" applyBorder="1" applyAlignment="1">
      <alignment horizontal="left" vertical="top" wrapText="1"/>
    </xf>
    <xf numFmtId="1" fontId="28" fillId="2" borderId="35" xfId="0" applyNumberFormat="1" applyFont="1" applyFill="1" applyBorder="1" applyAlignment="1">
      <alignment horizontal="left" vertical="top" wrapText="1"/>
    </xf>
    <xf numFmtId="2" fontId="28" fillId="2" borderId="1" xfId="0" applyNumberFormat="1" applyFont="1" applyFill="1" applyBorder="1" applyAlignment="1">
      <alignment horizontal="left" vertical="top" wrapText="1"/>
    </xf>
    <xf numFmtId="0" fontId="16" fillId="5" borderId="49" xfId="0" applyFont="1" applyFill="1" applyBorder="1" applyAlignment="1">
      <alignment horizontal="center" vertical="center" wrapText="1"/>
    </xf>
    <xf numFmtId="1" fontId="16" fillId="5" borderId="23" xfId="0" applyNumberFormat="1" applyFont="1" applyFill="1" applyBorder="1" applyAlignment="1" applyProtection="1">
      <alignment horizontal="center" vertical="center" wrapText="1"/>
      <protection hidden="1"/>
    </xf>
    <xf numFmtId="0" fontId="16" fillId="5" borderId="59" xfId="0" applyFont="1" applyFill="1" applyBorder="1" applyAlignment="1" applyProtection="1">
      <alignment horizontal="center" vertical="center" wrapText="1"/>
      <protection hidden="1"/>
    </xf>
    <xf numFmtId="2" fontId="16" fillId="5" borderId="23" xfId="0" applyNumberFormat="1" applyFont="1" applyFill="1" applyBorder="1" applyAlignment="1" applyProtection="1">
      <alignment horizontal="center" vertical="center" wrapText="1"/>
      <protection hidden="1"/>
    </xf>
    <xf numFmtId="49" fontId="16" fillId="5" borderId="30" xfId="0" applyNumberFormat="1" applyFont="1" applyFill="1" applyBorder="1" applyAlignment="1">
      <alignment horizontal="center" vertical="center" wrapText="1"/>
    </xf>
    <xf numFmtId="0" fontId="16" fillId="5" borderId="30" xfId="0" applyFont="1" applyFill="1" applyBorder="1" applyAlignment="1">
      <alignment horizontal="center" vertical="center" wrapText="1"/>
    </xf>
    <xf numFmtId="0" fontId="16" fillId="15" borderId="23" xfId="0" applyFont="1" applyFill="1" applyBorder="1" applyAlignment="1">
      <alignment horizontal="center" vertical="center" wrapText="1"/>
    </xf>
    <xf numFmtId="2" fontId="28" fillId="2" borderId="47" xfId="0" applyNumberFormat="1" applyFont="1" applyFill="1" applyBorder="1" applyAlignment="1">
      <alignment horizontal="left" vertical="top" wrapText="1"/>
    </xf>
    <xf numFmtId="0" fontId="28" fillId="0" borderId="15" xfId="0" applyFont="1" applyBorder="1" applyAlignment="1">
      <alignment horizontal="left" vertical="top" wrapText="1"/>
    </xf>
    <xf numFmtId="0" fontId="28" fillId="0" borderId="10" xfId="0" applyFont="1" applyBorder="1" applyAlignment="1">
      <alignment horizontal="left" vertical="top" wrapText="1"/>
    </xf>
    <xf numFmtId="0" fontId="28" fillId="0" borderId="14" xfId="0" applyFont="1" applyBorder="1" applyAlignment="1">
      <alignment horizontal="left" vertical="top" wrapText="1"/>
    </xf>
    <xf numFmtId="2" fontId="28" fillId="2" borderId="4" xfId="0" applyNumberFormat="1" applyFont="1" applyFill="1" applyBorder="1" applyAlignment="1">
      <alignment horizontal="left" vertical="top" wrapText="1"/>
    </xf>
    <xf numFmtId="1" fontId="5" fillId="0" borderId="59" xfId="0" applyNumberFormat="1" applyFont="1" applyBorder="1" applyAlignment="1">
      <alignment horizontal="center" vertical="top" wrapText="1"/>
    </xf>
    <xf numFmtId="0" fontId="5" fillId="0" borderId="33" xfId="0" applyFont="1" applyBorder="1" applyAlignment="1">
      <alignment horizontal="center" vertical="top" wrapText="1"/>
    </xf>
    <xf numFmtId="0" fontId="5" fillId="0" borderId="60" xfId="0" applyFont="1" applyBorder="1" applyAlignment="1">
      <alignment horizontal="center" vertical="top" wrapText="1"/>
    </xf>
    <xf numFmtId="0" fontId="23" fillId="0" borderId="69" xfId="0" applyFont="1" applyBorder="1" applyAlignment="1">
      <alignment vertical="top" wrapText="1"/>
    </xf>
    <xf numFmtId="0" fontId="23" fillId="0" borderId="1" xfId="0" applyFont="1" applyBorder="1" applyAlignment="1">
      <alignment vertical="top" wrapText="1"/>
    </xf>
    <xf numFmtId="0" fontId="39" fillId="0" borderId="17" xfId="0" applyFont="1" applyBorder="1" applyAlignment="1">
      <alignment horizontal="center" vertical="top" wrapText="1"/>
    </xf>
    <xf numFmtId="0" fontId="41" fillId="4" borderId="18" xfId="0" applyFont="1" applyFill="1" applyBorder="1" applyAlignment="1" applyProtection="1">
      <alignment horizontal="left" vertical="top" wrapText="1"/>
      <protection locked="0"/>
    </xf>
    <xf numFmtId="0" fontId="41" fillId="0" borderId="21" xfId="0" applyFont="1" applyBorder="1" applyAlignment="1" applyProtection="1">
      <alignment horizontal="center" vertical="top" wrapText="1"/>
      <protection locked="0"/>
    </xf>
    <xf numFmtId="0" fontId="41" fillId="0" borderId="72" xfId="0" applyFont="1" applyBorder="1" applyAlignment="1" applyProtection="1">
      <alignment horizontal="center" vertical="top" wrapText="1"/>
      <protection locked="0"/>
    </xf>
    <xf numFmtId="0" fontId="41" fillId="0" borderId="21" xfId="0" applyFont="1" applyBorder="1" applyAlignment="1" applyProtection="1">
      <alignment horizontal="center" vertical="top"/>
      <protection locked="0"/>
    </xf>
    <xf numFmtId="0" fontId="41" fillId="18" borderId="42" xfId="0" applyFont="1" applyFill="1" applyBorder="1" applyAlignment="1" applyProtection="1">
      <alignment horizontal="center" vertical="top" wrapText="1"/>
      <protection locked="0"/>
    </xf>
    <xf numFmtId="0" fontId="41" fillId="4" borderId="79" xfId="0" applyFont="1" applyFill="1" applyBorder="1" applyAlignment="1" applyProtection="1">
      <alignment horizontal="left" vertical="top" wrapText="1"/>
      <protection locked="0"/>
    </xf>
    <xf numFmtId="0" fontId="41" fillId="0" borderId="18" xfId="0" applyFont="1" applyBorder="1" applyAlignment="1" applyProtection="1">
      <alignment horizontal="center" vertical="top" wrapText="1"/>
      <protection locked="0"/>
    </xf>
    <xf numFmtId="1" fontId="41" fillId="0" borderId="21" xfId="0" applyNumberFormat="1" applyFont="1" applyBorder="1" applyAlignment="1" applyProtection="1">
      <alignment horizontal="center" vertical="center"/>
      <protection locked="0"/>
    </xf>
    <xf numFmtId="0" fontId="41" fillId="0" borderId="24" xfId="0" applyFont="1" applyBorder="1" applyAlignment="1" applyProtection="1">
      <alignment horizontal="center" vertical="top" wrapText="1"/>
      <protection locked="0"/>
    </xf>
    <xf numFmtId="0" fontId="41" fillId="0" borderId="18" xfId="0" applyFont="1" applyBorder="1" applyAlignment="1" applyProtection="1">
      <alignment horizontal="center" vertical="top"/>
      <protection locked="0"/>
    </xf>
    <xf numFmtId="0" fontId="41" fillId="0" borderId="72" xfId="0" applyFont="1" applyBorder="1" applyAlignment="1" applyProtection="1">
      <alignment horizontal="center" vertical="top"/>
      <protection locked="0"/>
    </xf>
    <xf numFmtId="2" fontId="1" fillId="0" borderId="5" xfId="0" applyNumberFormat="1" applyFont="1" applyBorder="1" applyAlignment="1" applyProtection="1">
      <alignment vertical="center"/>
      <protection locked="0"/>
    </xf>
    <xf numFmtId="0" fontId="1" fillId="0" borderId="5" xfId="0" applyFont="1" applyBorder="1" applyAlignment="1" applyProtection="1">
      <alignment horizontal="center" vertical="center"/>
      <protection locked="0"/>
    </xf>
    <xf numFmtId="0" fontId="41" fillId="24" borderId="5" xfId="0" applyFont="1" applyFill="1" applyBorder="1" applyAlignment="1" applyProtection="1">
      <alignment horizontal="center" vertical="top"/>
      <protection locked="0"/>
    </xf>
    <xf numFmtId="0" fontId="41" fillId="0" borderId="5" xfId="0" applyFont="1" applyBorder="1" applyAlignment="1" applyProtection="1">
      <alignment horizontal="center" vertical="top"/>
      <protection locked="0"/>
    </xf>
    <xf numFmtId="0" fontId="41" fillId="24" borderId="42" xfId="0" applyFont="1" applyFill="1" applyBorder="1" applyAlignment="1" applyProtection="1">
      <alignment horizontal="center" vertical="top"/>
      <protection locked="0"/>
    </xf>
    <xf numFmtId="0" fontId="41" fillId="24" borderId="5" xfId="0" applyFont="1" applyFill="1" applyBorder="1" applyAlignment="1" applyProtection="1">
      <alignment horizontal="center" vertical="top" wrapText="1"/>
      <protection locked="0"/>
    </xf>
    <xf numFmtId="1" fontId="41" fillId="0" borderId="24" xfId="0" applyNumberFormat="1" applyFont="1" applyBorder="1" applyAlignment="1" applyProtection="1">
      <alignment horizontal="center" vertical="top"/>
      <protection locked="0"/>
    </xf>
    <xf numFmtId="0" fontId="41" fillId="4" borderId="21" xfId="0" applyFont="1" applyFill="1" applyBorder="1" applyAlignment="1" applyProtection="1">
      <alignment horizontal="center" vertical="top" wrapText="1"/>
      <protection locked="0"/>
    </xf>
    <xf numFmtId="0" fontId="5" fillId="0" borderId="21" xfId="1" applyFont="1" applyBorder="1" applyAlignment="1" applyProtection="1">
      <alignment horizontal="center" vertical="center"/>
      <protection locked="0"/>
    </xf>
    <xf numFmtId="0" fontId="5" fillId="0" borderId="72" xfId="1" applyFont="1" applyBorder="1" applyAlignment="1" applyProtection="1">
      <alignment horizontal="center" vertical="center"/>
      <protection locked="0"/>
    </xf>
    <xf numFmtId="0" fontId="5" fillId="0" borderId="24" xfId="1" applyFont="1" applyBorder="1" applyAlignment="1" applyProtection="1">
      <alignment horizontal="center" vertical="center"/>
      <protection locked="0"/>
    </xf>
    <xf numFmtId="0" fontId="44" fillId="14" borderId="5" xfId="0" applyFont="1" applyFill="1" applyBorder="1" applyAlignment="1" applyProtection="1">
      <alignment horizontal="center" vertical="top" wrapText="1"/>
      <protection locked="0"/>
    </xf>
    <xf numFmtId="2" fontId="108" fillId="14" borderId="0" xfId="0" applyNumberFormat="1" applyFont="1" applyFill="1" applyAlignment="1">
      <alignment horizontal="center" vertical="top"/>
    </xf>
    <xf numFmtId="2" fontId="109" fillId="14" borderId="0" xfId="0" applyNumberFormat="1" applyFont="1" applyFill="1" applyAlignment="1">
      <alignment horizontal="center" vertical="top"/>
    </xf>
    <xf numFmtId="2" fontId="109" fillId="14" borderId="0" xfId="0" applyNumberFormat="1" applyFont="1" applyFill="1" applyAlignment="1">
      <alignment horizontal="center" vertical="top" wrapText="1"/>
    </xf>
    <xf numFmtId="2" fontId="110" fillId="14" borderId="0" xfId="0" applyNumberFormat="1" applyFont="1" applyFill="1">
      <alignment vertical="top"/>
    </xf>
    <xf numFmtId="2" fontId="110" fillId="14" borderId="11" xfId="0" applyNumberFormat="1" applyFont="1" applyFill="1" applyBorder="1">
      <alignment vertical="top"/>
    </xf>
    <xf numFmtId="2" fontId="44" fillId="0" borderId="54" xfId="0" applyNumberFormat="1" applyFont="1" applyBorder="1" applyAlignment="1">
      <alignment horizontal="center" vertical="center"/>
    </xf>
    <xf numFmtId="0" fontId="44" fillId="0" borderId="55" xfId="0" applyFont="1" applyBorder="1" applyAlignment="1">
      <alignment horizontal="center" vertical="center"/>
    </xf>
    <xf numFmtId="2" fontId="44" fillId="0" borderId="66" xfId="0" applyNumberFormat="1" applyFont="1" applyBorder="1" applyAlignment="1">
      <alignment horizontal="center" vertical="center"/>
    </xf>
    <xf numFmtId="2" fontId="44" fillId="0" borderId="33" xfId="0" applyNumberFormat="1" applyFont="1" applyBorder="1" applyAlignment="1">
      <alignment horizontal="center" vertical="center"/>
    </xf>
    <xf numFmtId="0" fontId="44" fillId="0" borderId="27" xfId="0" applyFont="1" applyBorder="1" applyAlignment="1">
      <alignment horizontal="center" vertical="center"/>
    </xf>
    <xf numFmtId="2" fontId="44" fillId="0" borderId="6" xfId="0" applyNumberFormat="1" applyFont="1" applyBorder="1" applyAlignment="1">
      <alignment horizontal="center" vertical="center"/>
    </xf>
    <xf numFmtId="2" fontId="44" fillId="0" borderId="60" xfId="0" applyNumberFormat="1" applyFont="1" applyBorder="1" applyAlignment="1">
      <alignment horizontal="center" vertical="center"/>
    </xf>
    <xf numFmtId="0" fontId="44" fillId="0" borderId="40" xfId="0" applyFont="1" applyBorder="1" applyAlignment="1">
      <alignment horizontal="center" vertical="center"/>
    </xf>
    <xf numFmtId="2" fontId="44" fillId="0" borderId="50" xfId="0" applyNumberFormat="1" applyFont="1" applyBorder="1" applyAlignment="1">
      <alignment horizontal="center" vertical="center"/>
    </xf>
    <xf numFmtId="2" fontId="44" fillId="19" borderId="66" xfId="0" applyNumberFormat="1" applyFont="1" applyFill="1" applyBorder="1" applyAlignment="1">
      <alignment horizontal="center" vertical="center"/>
    </xf>
    <xf numFmtId="0" fontId="44" fillId="19" borderId="55" xfId="0" applyFont="1" applyFill="1" applyBorder="1" applyAlignment="1">
      <alignment horizontal="center" vertical="center"/>
    </xf>
    <xf numFmtId="2" fontId="44" fillId="19" borderId="50" xfId="0" applyNumberFormat="1" applyFont="1" applyFill="1" applyBorder="1" applyAlignment="1">
      <alignment horizontal="center" vertical="center"/>
    </xf>
    <xf numFmtId="0" fontId="44" fillId="19" borderId="40" xfId="0" applyFont="1" applyFill="1" applyBorder="1" applyAlignment="1">
      <alignment horizontal="center" vertical="center"/>
    </xf>
    <xf numFmtId="2" fontId="44" fillId="19" borderId="43" xfId="0" applyNumberFormat="1" applyFont="1" applyFill="1" applyBorder="1" applyAlignment="1">
      <alignment horizontal="center" vertical="center"/>
    </xf>
    <xf numFmtId="0" fontId="44" fillId="19" borderId="61" xfId="0" applyFont="1" applyFill="1" applyBorder="1" applyAlignment="1">
      <alignment horizontal="center" vertical="center"/>
    </xf>
    <xf numFmtId="2" fontId="44" fillId="0" borderId="45" xfId="0" applyNumberFormat="1" applyFont="1" applyBorder="1" applyAlignment="1">
      <alignment horizontal="center" vertical="center"/>
    </xf>
    <xf numFmtId="0" fontId="44" fillId="0" borderId="61" xfId="0" applyFont="1" applyBorder="1" applyAlignment="1">
      <alignment horizontal="center" vertical="center"/>
    </xf>
    <xf numFmtId="2" fontId="44" fillId="19" borderId="73" xfId="0" applyNumberFormat="1" applyFont="1" applyFill="1" applyBorder="1" applyAlignment="1">
      <alignment horizontal="center" vertical="center"/>
    </xf>
    <xf numFmtId="0" fontId="44" fillId="19" borderId="28" xfId="0" applyFont="1" applyFill="1" applyBorder="1" applyAlignment="1">
      <alignment horizontal="center" vertical="center"/>
    </xf>
    <xf numFmtId="2" fontId="44" fillId="0" borderId="12" xfId="0" applyNumberFormat="1" applyFont="1" applyBorder="1" applyAlignment="1">
      <alignment horizontal="center" vertical="center"/>
    </xf>
    <xf numFmtId="0" fontId="44" fillId="0" borderId="28" xfId="0" applyFont="1" applyBorder="1" applyAlignment="1">
      <alignment horizontal="center" vertical="center"/>
    </xf>
    <xf numFmtId="2" fontId="44" fillId="19" borderId="33" xfId="0" applyNumberFormat="1" applyFont="1" applyFill="1" applyBorder="1" applyAlignment="1">
      <alignment horizontal="center" vertical="center"/>
    </xf>
    <xf numFmtId="0" fontId="44" fillId="19" borderId="27" xfId="0" applyFont="1" applyFill="1" applyBorder="1" applyAlignment="1">
      <alignment horizontal="center" vertical="center"/>
    </xf>
    <xf numFmtId="2" fontId="44" fillId="19" borderId="77" xfId="0" applyNumberFormat="1" applyFont="1" applyFill="1" applyBorder="1" applyAlignment="1">
      <alignment horizontal="center" vertical="center"/>
    </xf>
    <xf numFmtId="0" fontId="44" fillId="19" borderId="62" xfId="0" applyFont="1" applyFill="1" applyBorder="1" applyAlignment="1">
      <alignment horizontal="center" vertical="center"/>
    </xf>
    <xf numFmtId="2" fontId="44" fillId="0" borderId="17" xfId="0" applyNumberFormat="1" applyFont="1" applyBorder="1" applyAlignment="1">
      <alignment horizontal="center" vertical="center"/>
    </xf>
    <xf numFmtId="0" fontId="44" fillId="0" borderId="62" xfId="0" applyFont="1" applyBorder="1" applyAlignment="1">
      <alignment horizontal="center" vertical="center"/>
    </xf>
    <xf numFmtId="2" fontId="44" fillId="19" borderId="45" xfId="0" applyNumberFormat="1" applyFont="1" applyFill="1" applyBorder="1" applyAlignment="1">
      <alignment horizontal="center" vertical="center"/>
    </xf>
    <xf numFmtId="2" fontId="44" fillId="0" borderId="73" xfId="0" applyNumberFormat="1" applyFont="1" applyBorder="1" applyAlignment="1">
      <alignment horizontal="center" vertical="center"/>
    </xf>
    <xf numFmtId="2" fontId="44" fillId="0" borderId="77" xfId="0" applyNumberFormat="1" applyFont="1" applyBorder="1" applyAlignment="1">
      <alignment horizontal="center" vertical="center"/>
    </xf>
    <xf numFmtId="2" fontId="44" fillId="19" borderId="54" xfId="0" applyNumberFormat="1" applyFont="1" applyFill="1" applyBorder="1" applyAlignment="1">
      <alignment horizontal="center" vertical="center"/>
    </xf>
    <xf numFmtId="2" fontId="44" fillId="19" borderId="60" xfId="0" applyNumberFormat="1" applyFont="1" applyFill="1" applyBorder="1" applyAlignment="1">
      <alignment horizontal="center" vertical="center"/>
    </xf>
    <xf numFmtId="2" fontId="44" fillId="4" borderId="75" xfId="0" applyNumberFormat="1" applyFont="1" applyFill="1" applyBorder="1" applyAlignment="1">
      <alignment horizontal="center" vertical="top"/>
    </xf>
    <xf numFmtId="2" fontId="41" fillId="14" borderId="54" xfId="0" applyNumberFormat="1" applyFont="1" applyFill="1" applyBorder="1" applyAlignment="1">
      <alignment horizontal="center" vertical="top"/>
    </xf>
    <xf numFmtId="2" fontId="41" fillId="14" borderId="55" xfId="0" applyNumberFormat="1" applyFont="1" applyFill="1" applyBorder="1" applyAlignment="1">
      <alignment horizontal="center" vertical="top"/>
    </xf>
    <xf numFmtId="2" fontId="41" fillId="14" borderId="33" xfId="0" applyNumberFormat="1" applyFont="1" applyFill="1" applyBorder="1" applyAlignment="1">
      <alignment horizontal="center" vertical="top"/>
    </xf>
    <xf numFmtId="2" fontId="41" fillId="14" borderId="27" xfId="0" applyNumberFormat="1" applyFont="1" applyFill="1" applyBorder="1" applyAlignment="1">
      <alignment horizontal="center" vertical="top"/>
    </xf>
    <xf numFmtId="2" fontId="41" fillId="14" borderId="60" xfId="0" applyNumberFormat="1" applyFont="1" applyFill="1" applyBorder="1" applyAlignment="1">
      <alignment horizontal="center" vertical="top"/>
    </xf>
    <xf numFmtId="2" fontId="41" fillId="14" borderId="40" xfId="0" applyNumberFormat="1" applyFont="1" applyFill="1" applyBorder="1" applyAlignment="1">
      <alignment horizontal="center" vertical="top"/>
    </xf>
    <xf numFmtId="2" fontId="41" fillId="4" borderId="55" xfId="0" applyNumberFormat="1" applyFont="1" applyFill="1" applyBorder="1" applyAlignment="1">
      <alignment horizontal="center" vertical="top"/>
    </xf>
    <xf numFmtId="2" fontId="41" fillId="4" borderId="70" xfId="0" applyNumberFormat="1" applyFont="1" applyFill="1" applyBorder="1" applyAlignment="1">
      <alignment horizontal="center" vertical="top"/>
    </xf>
    <xf numFmtId="2" fontId="41" fillId="4" borderId="43" xfId="0" applyNumberFormat="1" applyFont="1" applyFill="1" applyBorder="1" applyAlignment="1">
      <alignment horizontal="center" vertical="top"/>
    </xf>
    <xf numFmtId="2" fontId="41" fillId="14" borderId="61" xfId="0" applyNumberFormat="1" applyFont="1" applyFill="1" applyBorder="1" applyAlignment="1">
      <alignment horizontal="center" vertical="top"/>
    </xf>
    <xf numFmtId="2" fontId="41" fillId="4" borderId="73" xfId="0" applyNumberFormat="1" applyFont="1" applyFill="1" applyBorder="1" applyAlignment="1">
      <alignment horizontal="center" vertical="top"/>
    </xf>
    <xf numFmtId="2" fontId="41" fillId="14" borderId="28" xfId="0" applyNumberFormat="1" applyFont="1" applyFill="1" applyBorder="1" applyAlignment="1">
      <alignment horizontal="center" vertical="top"/>
    </xf>
    <xf numFmtId="2" fontId="41" fillId="4" borderId="74" xfId="0" applyNumberFormat="1" applyFont="1" applyFill="1" applyBorder="1" applyAlignment="1">
      <alignment horizontal="center" vertical="top"/>
    </xf>
    <xf numFmtId="2" fontId="41" fillId="14" borderId="62" xfId="0" applyNumberFormat="1" applyFont="1" applyFill="1" applyBorder="1" applyAlignment="1">
      <alignment horizontal="center" vertical="top"/>
    </xf>
    <xf numFmtId="2" fontId="41" fillId="4" borderId="61" xfId="0" applyNumberFormat="1" applyFont="1" applyFill="1" applyBorder="1" applyAlignment="1">
      <alignment horizontal="center" vertical="top"/>
    </xf>
    <xf numFmtId="2" fontId="41" fillId="14" borderId="73" xfId="0" applyNumberFormat="1" applyFont="1" applyFill="1" applyBorder="1" applyAlignment="1">
      <alignment horizontal="center" vertical="top"/>
    </xf>
    <xf numFmtId="2" fontId="41" fillId="14" borderId="77" xfId="0" applyNumberFormat="1" applyFont="1" applyFill="1" applyBorder="1" applyAlignment="1">
      <alignment horizontal="center" vertical="top"/>
    </xf>
    <xf numFmtId="2" fontId="41" fillId="4" borderId="54" xfId="0" applyNumberFormat="1" applyFont="1" applyFill="1" applyBorder="1" applyAlignment="1">
      <alignment horizontal="center" vertical="top"/>
    </xf>
    <xf numFmtId="2" fontId="41" fillId="4" borderId="75" xfId="0" applyNumberFormat="1" applyFont="1" applyFill="1" applyBorder="1" applyAlignment="1">
      <alignment horizontal="center" vertical="top"/>
    </xf>
    <xf numFmtId="0" fontId="44" fillId="0" borderId="72" xfId="0" applyFont="1" applyBorder="1" applyAlignment="1" applyProtection="1">
      <alignment horizontal="center" vertical="top"/>
      <protection locked="0"/>
    </xf>
    <xf numFmtId="0" fontId="44" fillId="0" borderId="24" xfId="0" applyFont="1" applyBorder="1" applyAlignment="1" applyProtection="1">
      <alignment horizontal="center" vertical="top" wrapText="1"/>
      <protection locked="0"/>
    </xf>
    <xf numFmtId="0" fontId="44" fillId="36" borderId="72" xfId="0" applyFont="1" applyFill="1" applyBorder="1" applyAlignment="1" applyProtection="1">
      <alignment horizontal="center" vertical="top" wrapText="1"/>
      <protection locked="0"/>
    </xf>
    <xf numFmtId="0" fontId="44" fillId="0" borderId="18" xfId="0" applyFont="1" applyBorder="1" applyAlignment="1" applyProtection="1">
      <alignment horizontal="center" vertical="top"/>
      <protection locked="0"/>
    </xf>
    <xf numFmtId="164" fontId="44" fillId="0" borderId="5" xfId="0" applyNumberFormat="1" applyFont="1" applyBorder="1" applyAlignment="1" applyProtection="1">
      <alignment horizontal="center" vertical="top"/>
      <protection locked="0"/>
    </xf>
    <xf numFmtId="0" fontId="5" fillId="0" borderId="5" xfId="0" applyFont="1" applyBorder="1" applyAlignment="1" applyProtection="1">
      <alignment horizontal="left" vertical="top"/>
      <protection locked="0"/>
    </xf>
    <xf numFmtId="0" fontId="44" fillId="0" borderId="5" xfId="0" applyFont="1" applyBorder="1" applyAlignment="1" applyProtection="1">
      <alignment horizontal="center" vertical="top"/>
      <protection locked="0"/>
    </xf>
    <xf numFmtId="0" fontId="41" fillId="0" borderId="23" xfId="0" applyFont="1" applyBorder="1" applyAlignment="1">
      <alignment horizontal="left" vertical="top" wrapText="1"/>
    </xf>
    <xf numFmtId="0" fontId="41" fillId="0" borderId="46" xfId="0" applyFont="1" applyBorder="1" applyAlignment="1">
      <alignment horizontal="left" vertical="top" wrapText="1"/>
    </xf>
    <xf numFmtId="0" fontId="41" fillId="0" borderId="42" xfId="0" applyFont="1" applyBorder="1" applyAlignment="1">
      <alignment horizontal="left" vertical="top" wrapText="1"/>
    </xf>
    <xf numFmtId="1" fontId="5" fillId="0" borderId="23" xfId="0" applyNumberFormat="1" applyFont="1" applyBorder="1" applyAlignment="1">
      <alignment horizontal="left" vertical="top" wrapText="1"/>
    </xf>
    <xf numFmtId="1" fontId="5" fillId="0" borderId="46" xfId="0" applyNumberFormat="1" applyFont="1" applyBorder="1" applyAlignment="1">
      <alignment horizontal="left" vertical="top" wrapText="1"/>
    </xf>
    <xf numFmtId="1" fontId="5" fillId="0" borderId="42" xfId="0" applyNumberFormat="1" applyFont="1" applyBorder="1" applyAlignment="1">
      <alignment horizontal="left" vertical="top" wrapText="1"/>
    </xf>
    <xf numFmtId="0" fontId="5" fillId="0" borderId="23" xfId="0" applyFont="1" applyBorder="1" applyAlignment="1">
      <alignment horizontal="left" vertical="top" wrapText="1"/>
    </xf>
    <xf numFmtId="0" fontId="5" fillId="0" borderId="46" xfId="0" applyFont="1" applyBorder="1" applyAlignment="1">
      <alignment horizontal="left" vertical="top" wrapText="1"/>
    </xf>
    <xf numFmtId="0" fontId="5" fillId="0" borderId="42" xfId="0" applyFont="1" applyBorder="1" applyAlignment="1">
      <alignment horizontal="left" vertical="top" wrapText="1"/>
    </xf>
    <xf numFmtId="0" fontId="53" fillId="11" borderId="34" xfId="0" applyFont="1" applyFill="1" applyBorder="1" applyAlignment="1" applyProtection="1">
      <alignment horizontal="left" vertical="top" wrapText="1"/>
      <protection locked="0"/>
    </xf>
    <xf numFmtId="0" fontId="53" fillId="11" borderId="53" xfId="0" applyFont="1" applyFill="1" applyBorder="1" applyAlignment="1" applyProtection="1">
      <alignment horizontal="left" vertical="top" wrapText="1"/>
      <protection locked="0"/>
    </xf>
    <xf numFmtId="0" fontId="53" fillId="11" borderId="41" xfId="0" applyFont="1" applyFill="1" applyBorder="1" applyAlignment="1" applyProtection="1">
      <alignment horizontal="left" vertical="top" wrapText="1"/>
      <protection locked="0"/>
    </xf>
    <xf numFmtId="0" fontId="64" fillId="0" borderId="34" xfId="0" applyFont="1" applyBorder="1" applyAlignment="1" applyProtection="1">
      <alignment horizontal="left" vertical="top" wrapText="1"/>
      <protection locked="0"/>
    </xf>
    <xf numFmtId="0" fontId="64" fillId="0" borderId="41" xfId="0" applyFont="1" applyBorder="1" applyAlignment="1" applyProtection="1">
      <alignment horizontal="left" vertical="top" wrapText="1"/>
      <protection locked="0"/>
    </xf>
    <xf numFmtId="0" fontId="71" fillId="0" borderId="34" xfId="0" applyFont="1" applyBorder="1" applyAlignment="1" applyProtection="1">
      <alignment horizontal="left" vertical="top"/>
      <protection locked="0"/>
    </xf>
    <xf numFmtId="0" fontId="71" fillId="0" borderId="41" xfId="0" applyFont="1" applyBorder="1" applyAlignment="1" applyProtection="1">
      <alignment horizontal="left" vertical="top"/>
      <protection locked="0"/>
    </xf>
    <xf numFmtId="0" fontId="53" fillId="11" borderId="34" xfId="0" applyFont="1" applyFill="1" applyBorder="1" applyAlignment="1">
      <alignment horizontal="left" vertical="top" wrapText="1"/>
    </xf>
    <xf numFmtId="0" fontId="53" fillId="11" borderId="53" xfId="0" applyFont="1" applyFill="1" applyBorder="1" applyAlignment="1">
      <alignment horizontal="left" vertical="top" wrapText="1"/>
    </xf>
    <xf numFmtId="0" fontId="53" fillId="11" borderId="41" xfId="0" applyFont="1" applyFill="1" applyBorder="1" applyAlignment="1">
      <alignment horizontal="left" vertical="top" wrapText="1"/>
    </xf>
    <xf numFmtId="0" fontId="6" fillId="0" borderId="34" xfId="0" applyFont="1" applyBorder="1" applyAlignment="1" applyProtection="1">
      <alignment horizontal="left" vertical="top"/>
      <protection locked="0"/>
    </xf>
    <xf numFmtId="0" fontId="6" fillId="0" borderId="41" xfId="0" applyFont="1" applyBorder="1" applyAlignment="1" applyProtection="1">
      <alignment horizontal="left" vertical="top"/>
      <protection locked="0"/>
    </xf>
    <xf numFmtId="0" fontId="6" fillId="0" borderId="23" xfId="0" applyFont="1" applyBorder="1" applyAlignment="1" applyProtection="1">
      <alignment horizontal="center" vertical="top"/>
      <protection locked="0"/>
    </xf>
    <xf numFmtId="0" fontId="6" fillId="0" borderId="42" xfId="0" applyFont="1" applyBorder="1" applyAlignment="1" applyProtection="1">
      <alignment horizontal="center" vertical="top"/>
      <protection locked="0"/>
    </xf>
    <xf numFmtId="0" fontId="6" fillId="0" borderId="18" xfId="0" applyFont="1" applyBorder="1" applyAlignment="1" applyProtection="1">
      <alignment horizontal="center" vertical="top"/>
      <protection locked="0"/>
    </xf>
    <xf numFmtId="0" fontId="25" fillId="31" borderId="34" xfId="0" applyFont="1" applyFill="1" applyBorder="1" applyAlignment="1">
      <alignment horizontal="left" vertical="center" wrapText="1"/>
    </xf>
    <xf numFmtId="0" fontId="25" fillId="31" borderId="53" xfId="0" applyFont="1" applyFill="1" applyBorder="1" applyAlignment="1">
      <alignment horizontal="left" vertical="center" wrapText="1"/>
    </xf>
    <xf numFmtId="0" fontId="93" fillId="30" borderId="34" xfId="0" applyFont="1" applyFill="1" applyBorder="1" applyAlignment="1">
      <alignment horizontal="left" vertical="center" wrapText="1"/>
    </xf>
    <xf numFmtId="0" fontId="93" fillId="30" borderId="53" xfId="0" applyFont="1" applyFill="1" applyBorder="1" applyAlignment="1">
      <alignment horizontal="left" vertical="center" wrapText="1"/>
    </xf>
    <xf numFmtId="0" fontId="6" fillId="18" borderId="34" xfId="0" applyFont="1" applyFill="1" applyBorder="1" applyAlignment="1" applyProtection="1">
      <alignment horizontal="left" vertical="top"/>
      <protection locked="0"/>
    </xf>
    <xf numFmtId="0" fontId="6" fillId="18" borderId="41" xfId="0" applyFont="1" applyFill="1" applyBorder="1" applyAlignment="1" applyProtection="1">
      <alignment horizontal="left" vertical="top"/>
      <protection locked="0"/>
    </xf>
    <xf numFmtId="0" fontId="5" fillId="0" borderId="23" xfId="0" applyFont="1" applyBorder="1" applyAlignment="1">
      <alignment vertical="top" wrapText="1"/>
    </xf>
    <xf numFmtId="0" fontId="10" fillId="0" borderId="46" xfId="0" applyFont="1" applyBorder="1">
      <alignment vertical="top"/>
    </xf>
    <xf numFmtId="0" fontId="10" fillId="0" borderId="42" xfId="0" applyFont="1" applyBorder="1">
      <alignment vertical="top"/>
    </xf>
    <xf numFmtId="0" fontId="5" fillId="0" borderId="46" xfId="0" applyFont="1" applyBorder="1" applyAlignment="1">
      <alignment vertical="top" wrapText="1"/>
    </xf>
    <xf numFmtId="0" fontId="5" fillId="0" borderId="30" xfId="0" applyFont="1" applyBorder="1" applyAlignment="1">
      <alignment vertical="top" wrapText="1"/>
    </xf>
    <xf numFmtId="0" fontId="5" fillId="0" borderId="69" xfId="0" applyFont="1" applyBorder="1" applyAlignment="1">
      <alignment vertical="top" wrapText="1"/>
    </xf>
    <xf numFmtId="0" fontId="10" fillId="0" borderId="69" xfId="0" applyFont="1" applyBorder="1">
      <alignment vertical="top"/>
    </xf>
    <xf numFmtId="0" fontId="10" fillId="0" borderId="71" xfId="0" applyFont="1" applyBorder="1">
      <alignment vertical="top"/>
    </xf>
    <xf numFmtId="0" fontId="93" fillId="30" borderId="34" xfId="0" applyFont="1" applyFill="1" applyBorder="1" applyAlignment="1">
      <alignment horizontal="left" vertical="top" wrapText="1"/>
    </xf>
    <xf numFmtId="0" fontId="93" fillId="30" borderId="53" xfId="0" applyFont="1" applyFill="1" applyBorder="1" applyAlignment="1">
      <alignment horizontal="left" vertical="top" wrapText="1"/>
    </xf>
    <xf numFmtId="0" fontId="5" fillId="0" borderId="64" xfId="0" applyFont="1" applyBorder="1" applyAlignment="1">
      <alignment horizontal="left" vertical="top" wrapText="1"/>
    </xf>
    <xf numFmtId="0" fontId="0" fillId="0" borderId="64" xfId="0" applyBorder="1">
      <alignment vertical="top"/>
    </xf>
    <xf numFmtId="0" fontId="5" fillId="18" borderId="68" xfId="0" applyFont="1" applyFill="1" applyBorder="1" applyAlignment="1">
      <alignment horizontal="left" vertical="top" wrapText="1"/>
    </xf>
    <xf numFmtId="0" fontId="5" fillId="18" borderId="64" xfId="0" applyFont="1" applyFill="1" applyBorder="1" applyAlignment="1">
      <alignment horizontal="left" vertical="top" wrapText="1"/>
    </xf>
    <xf numFmtId="0" fontId="25" fillId="18" borderId="23" xfId="0" applyFont="1" applyFill="1" applyBorder="1" applyAlignment="1">
      <alignment horizontal="left" vertical="top" wrapText="1"/>
    </xf>
    <xf numFmtId="0" fontId="25" fillId="18" borderId="46" xfId="0" applyFont="1" applyFill="1" applyBorder="1" applyAlignment="1">
      <alignment horizontal="left" vertical="top" wrapText="1"/>
    </xf>
    <xf numFmtId="0" fontId="0" fillId="0" borderId="46" xfId="0" applyBorder="1">
      <alignment vertical="top"/>
    </xf>
    <xf numFmtId="0" fontId="5" fillId="18" borderId="23" xfId="0" applyFont="1" applyFill="1" applyBorder="1" applyAlignment="1">
      <alignment horizontal="left" vertical="top" wrapText="1"/>
    </xf>
    <xf numFmtId="0" fontId="5" fillId="18" borderId="46" xfId="0" applyFont="1" applyFill="1" applyBorder="1" applyAlignment="1">
      <alignment horizontal="left" vertical="top" wrapText="1"/>
    </xf>
    <xf numFmtId="0" fontId="5" fillId="0" borderId="42" xfId="0" applyFont="1" applyBorder="1" applyAlignment="1">
      <alignment vertical="top" wrapText="1"/>
    </xf>
    <xf numFmtId="0" fontId="5" fillId="0" borderId="68" xfId="0" applyFont="1" applyBorder="1" applyAlignment="1">
      <alignment vertical="top" wrapText="1"/>
    </xf>
    <xf numFmtId="0" fontId="5" fillId="0" borderId="64" xfId="0" applyFont="1" applyBorder="1" applyAlignment="1">
      <alignment vertical="top" wrapText="1"/>
    </xf>
    <xf numFmtId="0" fontId="5" fillId="0" borderId="22" xfId="0" applyFont="1" applyBorder="1" applyAlignment="1">
      <alignment vertical="top" wrapText="1"/>
    </xf>
    <xf numFmtId="0" fontId="25" fillId="0" borderId="23" xfId="0" applyFont="1" applyBorder="1" applyAlignment="1">
      <alignment vertical="top" wrapText="1"/>
    </xf>
    <xf numFmtId="0" fontId="0" fillId="0" borderId="42" xfId="0" applyBorder="1">
      <alignment vertical="top"/>
    </xf>
    <xf numFmtId="0" fontId="25" fillId="0" borderId="46" xfId="0" applyFont="1" applyBorder="1" applyAlignment="1">
      <alignment vertical="top" wrapText="1"/>
    </xf>
    <xf numFmtId="0" fontId="25" fillId="0" borderId="46" xfId="0" applyFont="1" applyBorder="1" applyAlignment="1">
      <alignment horizontal="left" vertical="top" wrapText="1"/>
    </xf>
    <xf numFmtId="0" fontId="25" fillId="0" borderId="23" xfId="0" applyFont="1" applyBorder="1" applyAlignment="1">
      <alignment horizontal="left" vertical="top" wrapText="1"/>
    </xf>
    <xf numFmtId="0" fontId="5" fillId="0" borderId="68" xfId="0" applyFont="1" applyBorder="1" applyAlignment="1">
      <alignment horizontal="left" vertical="top" wrapText="1"/>
    </xf>
    <xf numFmtId="0" fontId="5" fillId="0" borderId="22" xfId="0" applyFont="1" applyBorder="1" applyAlignment="1">
      <alignment horizontal="left" vertical="top" wrapText="1"/>
    </xf>
    <xf numFmtId="1" fontId="5" fillId="0" borderId="64" xfId="0" applyNumberFormat="1" applyFont="1" applyBorder="1" applyAlignment="1">
      <alignment horizontal="left" vertical="top" wrapText="1"/>
    </xf>
    <xf numFmtId="0" fontId="5" fillId="0" borderId="68" xfId="0" applyFont="1" applyBorder="1">
      <alignment vertical="top"/>
    </xf>
    <xf numFmtId="0" fontId="5" fillId="0" borderId="64" xfId="0" applyFont="1" applyBorder="1">
      <alignment vertical="top"/>
    </xf>
    <xf numFmtId="0" fontId="5" fillId="0" borderId="22" xfId="0" applyFont="1" applyBorder="1">
      <alignment vertical="top"/>
    </xf>
    <xf numFmtId="0" fontId="0" fillId="0" borderId="22" xfId="0" applyBorder="1">
      <alignment vertical="top"/>
    </xf>
    <xf numFmtId="0" fontId="97" fillId="11" borderId="34" xfId="0" applyFont="1" applyFill="1" applyBorder="1" applyAlignment="1">
      <alignment horizontal="left" vertical="center" wrapText="1"/>
    </xf>
    <xf numFmtId="0" fontId="97" fillId="11" borderId="53" xfId="0" applyFont="1" applyFill="1" applyBorder="1" applyAlignment="1">
      <alignment horizontal="left" vertical="center" wrapText="1"/>
    </xf>
    <xf numFmtId="0" fontId="25" fillId="0" borderId="68" xfId="0" applyFont="1" applyBorder="1" applyAlignment="1">
      <alignment vertical="top" wrapText="1"/>
    </xf>
    <xf numFmtId="0" fontId="25" fillId="0" borderId="64" xfId="0" applyFont="1" applyBorder="1" applyAlignment="1">
      <alignment vertical="top" wrapText="1"/>
    </xf>
    <xf numFmtId="0" fontId="25" fillId="0" borderId="22" xfId="0" applyFont="1" applyBorder="1" applyAlignment="1">
      <alignment vertical="top" wrapText="1"/>
    </xf>
    <xf numFmtId="0" fontId="5" fillId="0" borderId="64" xfId="0" applyFont="1" applyBorder="1" applyAlignment="1">
      <alignment horizontal="left" vertical="top"/>
    </xf>
    <xf numFmtId="0" fontId="5" fillId="0" borderId="22" xfId="0" applyFont="1" applyBorder="1" applyAlignment="1">
      <alignment horizontal="left" vertical="top"/>
    </xf>
    <xf numFmtId="0" fontId="46" fillId="0" borderId="34" xfId="1" applyFont="1" applyBorder="1" applyAlignment="1" applyProtection="1">
      <alignment horizontal="left" vertical="top"/>
      <protection locked="0"/>
    </xf>
    <xf numFmtId="0" fontId="46" fillId="0" borderId="41" xfId="1" applyFont="1" applyBorder="1" applyAlignment="1" applyProtection="1">
      <alignment horizontal="left" vertical="top"/>
      <protection locked="0"/>
    </xf>
    <xf numFmtId="0" fontId="49" fillId="0" borderId="1" xfId="1" applyFont="1" applyBorder="1" applyAlignment="1">
      <alignment horizontal="left" vertical="center" wrapText="1"/>
    </xf>
    <xf numFmtId="0" fontId="49" fillId="0" borderId="2" xfId="1" applyFont="1" applyBorder="1" applyAlignment="1">
      <alignment horizontal="left" vertical="center" wrapText="1"/>
    </xf>
    <xf numFmtId="0" fontId="57" fillId="32" borderId="34" xfId="1" applyFont="1" applyFill="1" applyBorder="1" applyAlignment="1">
      <alignment horizontal="left" vertical="center" wrapText="1"/>
    </xf>
    <xf numFmtId="0" fontId="57" fillId="32" borderId="53" xfId="1" applyFont="1" applyFill="1" applyBorder="1" applyAlignment="1">
      <alignment horizontal="left" vertical="center" wrapText="1"/>
    </xf>
    <xf numFmtId="0" fontId="6" fillId="0" borderId="34" xfId="1" applyFont="1" applyBorder="1" applyAlignment="1" applyProtection="1">
      <alignment horizontal="left" vertical="top"/>
      <protection locked="0"/>
    </xf>
    <xf numFmtId="0" fontId="6" fillId="0" borderId="41" xfId="1" applyFont="1" applyBorder="1" applyAlignment="1" applyProtection="1">
      <alignment horizontal="left" vertical="top"/>
      <protection locked="0"/>
    </xf>
    <xf numFmtId="0" fontId="49" fillId="0" borderId="1" xfId="1" applyFont="1" applyBorder="1" applyAlignment="1">
      <alignment vertical="center" wrapText="1"/>
    </xf>
    <xf numFmtId="0" fontId="49" fillId="0" borderId="2" xfId="1" applyFont="1" applyBorder="1" applyAlignment="1">
      <alignment vertical="center" wrapText="1"/>
    </xf>
    <xf numFmtId="0" fontId="5" fillId="0" borderId="23" xfId="1" applyFont="1" applyBorder="1" applyAlignment="1">
      <alignment vertical="top" wrapText="1"/>
    </xf>
    <xf numFmtId="0" fontId="0" fillId="0" borderId="46" xfId="0" applyBorder="1" applyAlignment="1">
      <alignment vertical="top" wrapText="1"/>
    </xf>
    <xf numFmtId="0" fontId="0" fillId="0" borderId="42" xfId="0" applyBorder="1" applyAlignment="1">
      <alignment vertical="top" wrapText="1"/>
    </xf>
    <xf numFmtId="0" fontId="14" fillId="0" borderId="53" xfId="1" applyFont="1" applyBorder="1" applyAlignment="1">
      <alignment vertical="center" wrapText="1"/>
    </xf>
    <xf numFmtId="0" fontId="4" fillId="0" borderId="53" xfId="0" applyFont="1" applyBorder="1" applyAlignment="1">
      <alignment vertical="center" wrapText="1"/>
    </xf>
    <xf numFmtId="0" fontId="12" fillId="32" borderId="53" xfId="1" applyFont="1" applyFill="1" applyBorder="1" applyAlignment="1">
      <alignment vertical="center" wrapText="1"/>
    </xf>
    <xf numFmtId="0" fontId="34" fillId="32" borderId="53" xfId="0" applyFont="1" applyFill="1" applyBorder="1" applyAlignment="1">
      <alignment vertical="center" wrapText="1"/>
    </xf>
    <xf numFmtId="0" fontId="5" fillId="0" borderId="25" xfId="1" applyFont="1" applyBorder="1" applyAlignment="1">
      <alignment vertical="center" wrapText="1"/>
    </xf>
    <xf numFmtId="0" fontId="0" fillId="0" borderId="63" xfId="0" applyBorder="1" applyAlignment="1">
      <alignment vertical="center" wrapText="1"/>
    </xf>
    <xf numFmtId="0" fontId="5" fillId="0" borderId="26" xfId="1" applyFont="1" applyBorder="1" applyAlignment="1">
      <alignment vertical="center" wrapText="1"/>
    </xf>
    <xf numFmtId="0" fontId="0" fillId="0" borderId="15" xfId="0" applyBorder="1" applyAlignment="1">
      <alignment vertical="center" wrapText="1"/>
    </xf>
    <xf numFmtId="2" fontId="47" fillId="0" borderId="10" xfId="1" applyNumberFormat="1" applyFont="1" applyBorder="1" applyAlignment="1">
      <alignment horizontal="right" vertical="center" wrapText="1"/>
    </xf>
    <xf numFmtId="2" fontId="46" fillId="0" borderId="10" xfId="0" applyNumberFormat="1" applyFont="1" applyBorder="1" applyAlignment="1">
      <alignment horizontal="right" vertical="center" wrapText="1"/>
    </xf>
    <xf numFmtId="0" fontId="5" fillId="0" borderId="20" xfId="1" applyFont="1" applyBorder="1" applyAlignment="1">
      <alignment vertical="center" wrapText="1"/>
    </xf>
    <xf numFmtId="0" fontId="0" fillId="0" borderId="36" xfId="0" applyBorder="1" applyAlignment="1">
      <alignment vertical="center" wrapText="1"/>
    </xf>
    <xf numFmtId="0" fontId="5" fillId="0" borderId="23" xfId="1" applyFont="1" applyBorder="1" applyAlignment="1">
      <alignment horizontal="left" vertical="top" wrapText="1"/>
    </xf>
    <xf numFmtId="0" fontId="5" fillId="0" borderId="46" xfId="1" applyFont="1" applyBorder="1" applyAlignment="1">
      <alignment horizontal="left" vertical="top" wrapText="1"/>
    </xf>
    <xf numFmtId="0" fontId="5" fillId="0" borderId="42" xfId="1" applyFont="1" applyBorder="1" applyAlignment="1">
      <alignment horizontal="left" vertical="top" wrapText="1"/>
    </xf>
    <xf numFmtId="0" fontId="63" fillId="0" borderId="1" xfId="0" applyFont="1" applyBorder="1" applyAlignment="1">
      <alignment vertical="center" wrapText="1"/>
    </xf>
    <xf numFmtId="0" fontId="63" fillId="0" borderId="2" xfId="0" applyFont="1" applyBorder="1" applyAlignment="1">
      <alignment vertical="center" wrapText="1"/>
    </xf>
    <xf numFmtId="0" fontId="14" fillId="0" borderId="53" xfId="1" applyFont="1" applyBorder="1" applyAlignment="1">
      <alignment horizontal="left" vertical="center" wrapText="1"/>
    </xf>
    <xf numFmtId="0" fontId="34" fillId="32" borderId="53" xfId="1" applyFont="1" applyFill="1" applyBorder="1" applyAlignment="1">
      <alignment vertical="center" wrapText="1"/>
    </xf>
    <xf numFmtId="0" fontId="0" fillId="0" borderId="6" xfId="0" applyBorder="1" applyAlignment="1">
      <alignment vertical="center" wrapText="1"/>
    </xf>
    <xf numFmtId="49" fontId="47" fillId="0" borderId="15" xfId="1" applyNumberFormat="1" applyFont="1" applyBorder="1" applyAlignment="1">
      <alignment horizontal="right" vertical="center" wrapText="1"/>
    </xf>
    <xf numFmtId="49" fontId="47" fillId="0" borderId="14" xfId="1" applyNumberFormat="1" applyFont="1" applyBorder="1" applyAlignment="1">
      <alignment horizontal="right" vertical="center" wrapText="1"/>
    </xf>
    <xf numFmtId="49" fontId="47" fillId="0" borderId="0" xfId="1" applyNumberFormat="1" applyFont="1" applyAlignment="1">
      <alignment horizontal="right" vertical="center" wrapText="1"/>
    </xf>
    <xf numFmtId="0" fontId="0" fillId="32" borderId="53" xfId="0" applyFill="1" applyBorder="1" applyAlignment="1">
      <alignment vertical="center" wrapText="1"/>
    </xf>
    <xf numFmtId="0" fontId="0" fillId="0" borderId="53" xfId="0" applyBorder="1" applyAlignment="1">
      <alignment vertical="center" wrapText="1"/>
    </xf>
    <xf numFmtId="2" fontId="2" fillId="0" borderId="10" xfId="1" applyNumberFormat="1" applyFont="1" applyBorder="1" applyAlignment="1">
      <alignment horizontal="right" vertical="center" wrapText="1"/>
    </xf>
    <xf numFmtId="2" fontId="0" fillId="0" borderId="10" xfId="0" applyNumberFormat="1" applyBorder="1" applyAlignment="1">
      <alignment horizontal="right" vertical="center" wrapText="1"/>
    </xf>
    <xf numFmtId="49" fontId="47" fillId="0" borderId="26" xfId="1" applyNumberFormat="1" applyFont="1" applyBorder="1" applyAlignment="1">
      <alignment horizontal="right" vertical="center" wrapText="1"/>
    </xf>
    <xf numFmtId="49" fontId="47" fillId="0" borderId="16" xfId="1" applyNumberFormat="1" applyFont="1" applyBorder="1" applyAlignment="1">
      <alignment horizontal="right" vertical="center" wrapText="1"/>
    </xf>
    <xf numFmtId="49" fontId="21" fillId="32" borderId="15" xfId="1" applyNumberFormat="1" applyFont="1" applyFill="1" applyBorder="1" applyAlignment="1">
      <alignment horizontal="left" vertical="center" wrapText="1"/>
    </xf>
    <xf numFmtId="0" fontId="99" fillId="33" borderId="34" xfId="0" applyFont="1" applyFill="1" applyBorder="1" applyAlignment="1">
      <alignment horizontal="center" vertical="center" wrapText="1"/>
    </xf>
    <xf numFmtId="0" fontId="99" fillId="33" borderId="53" xfId="0" applyFont="1" applyFill="1" applyBorder="1" applyAlignment="1">
      <alignment horizontal="center" vertical="center" wrapText="1"/>
    </xf>
    <xf numFmtId="0" fontId="99" fillId="33" borderId="41" xfId="0" applyFont="1" applyFill="1" applyBorder="1" applyAlignment="1">
      <alignment horizontal="center" vertical="center" wrapText="1"/>
    </xf>
    <xf numFmtId="0" fontId="84" fillId="0" borderId="34" xfId="0" applyFont="1" applyBorder="1" applyAlignment="1" applyProtection="1">
      <alignment horizontal="left" vertical="top" wrapText="1"/>
      <protection locked="0"/>
    </xf>
    <xf numFmtId="0" fontId="84" fillId="0" borderId="53" xfId="0" applyFont="1" applyBorder="1" applyAlignment="1" applyProtection="1">
      <alignment horizontal="left" vertical="top" wrapText="1"/>
      <protection locked="0"/>
    </xf>
    <xf numFmtId="0" fontId="84" fillId="0" borderId="41" xfId="0" applyFont="1" applyBorder="1" applyAlignment="1" applyProtection="1">
      <alignment horizontal="left" vertical="top" wrapText="1"/>
      <protection locked="0"/>
    </xf>
    <xf numFmtId="2" fontId="4" fillId="0" borderId="34" xfId="0" applyNumberFormat="1" applyFont="1" applyBorder="1" applyAlignment="1">
      <alignment horizontal="left" vertical="top" wrapText="1"/>
    </xf>
    <xf numFmtId="2" fontId="85" fillId="0" borderId="53" xfId="0" applyNumberFormat="1" applyFont="1" applyBorder="1" applyAlignment="1">
      <alignment horizontal="left" vertical="top" wrapText="1"/>
    </xf>
    <xf numFmtId="2" fontId="85" fillId="0" borderId="41" xfId="0" applyNumberFormat="1" applyFont="1" applyBorder="1" applyAlignment="1">
      <alignment horizontal="left" vertical="top" wrapText="1"/>
    </xf>
    <xf numFmtId="0" fontId="84" fillId="0" borderId="5" xfId="0" applyFont="1" applyBorder="1" applyAlignment="1" applyProtection="1">
      <alignment horizontal="left" vertical="top" wrapText="1"/>
      <protection locked="0"/>
    </xf>
    <xf numFmtId="0" fontId="17" fillId="0" borderId="5" xfId="0" applyFont="1" applyBorder="1" applyAlignment="1" applyProtection="1">
      <alignment horizontal="left" vertical="top" wrapText="1"/>
      <protection locked="0"/>
    </xf>
    <xf numFmtId="2" fontId="105" fillId="24" borderId="59" xfId="0" applyNumberFormat="1" applyFont="1" applyFill="1" applyBorder="1" applyAlignment="1">
      <alignment horizontal="center" wrapText="1"/>
    </xf>
    <xf numFmtId="0" fontId="28" fillId="0" borderId="46" xfId="0" applyFont="1" applyBorder="1" applyAlignment="1">
      <alignment horizontal="left" vertical="top" wrapText="1"/>
    </xf>
    <xf numFmtId="0" fontId="28" fillId="0" borderId="42" xfId="0" applyFont="1" applyBorder="1" applyAlignment="1">
      <alignment horizontal="left" vertical="top" wrapText="1"/>
    </xf>
    <xf numFmtId="0" fontId="5" fillId="0" borderId="33" xfId="0" applyFont="1" applyBorder="1" applyAlignment="1">
      <alignment horizontal="left" vertical="top" wrapText="1"/>
    </xf>
    <xf numFmtId="0" fontId="5" fillId="0" borderId="27" xfId="0" applyFont="1" applyBorder="1" applyAlignment="1">
      <alignment horizontal="left" vertical="top" wrapText="1"/>
    </xf>
    <xf numFmtId="0" fontId="5" fillId="0" borderId="60" xfId="0" applyFont="1" applyBorder="1" applyAlignment="1">
      <alignment horizontal="left" vertical="top" wrapText="1"/>
    </xf>
    <xf numFmtId="0" fontId="5" fillId="0" borderId="40" xfId="0" applyFont="1" applyBorder="1" applyAlignment="1">
      <alignment horizontal="left" vertical="top" wrapText="1"/>
    </xf>
    <xf numFmtId="0" fontId="41" fillId="0" borderId="33" xfId="0" applyFont="1" applyBorder="1" applyAlignment="1">
      <alignment horizontal="left" vertical="top" wrapText="1"/>
    </xf>
    <xf numFmtId="0" fontId="41" fillId="0" borderId="27" xfId="0" applyFont="1" applyBorder="1" applyAlignment="1">
      <alignment horizontal="left" vertical="top" wrapText="1"/>
    </xf>
    <xf numFmtId="0" fontId="8" fillId="0" borderId="43" xfId="0" applyFont="1" applyBorder="1" applyAlignment="1">
      <alignment horizontal="center" vertical="center" wrapText="1"/>
    </xf>
    <xf numFmtId="0" fontId="8" fillId="0" borderId="61" xfId="0" applyFont="1" applyBorder="1" applyAlignment="1">
      <alignment horizontal="center" vertical="center" wrapText="1"/>
    </xf>
    <xf numFmtId="0" fontId="5" fillId="0" borderId="73" xfId="0" applyFont="1" applyBorder="1" applyAlignment="1">
      <alignment horizontal="left" vertical="top" wrapText="1"/>
    </xf>
    <xf numFmtId="0" fontId="5" fillId="0" borderId="28" xfId="0" applyFont="1" applyBorder="1" applyAlignment="1">
      <alignment horizontal="left" vertical="top" wrapText="1"/>
    </xf>
    <xf numFmtId="0" fontId="5" fillId="0" borderId="29" xfId="0" applyFont="1" applyBorder="1" applyAlignment="1">
      <alignment horizontal="left" vertical="top" wrapText="1"/>
    </xf>
    <xf numFmtId="0" fontId="5" fillId="0" borderId="21" xfId="0" applyFont="1" applyBorder="1" applyAlignment="1">
      <alignment horizontal="left" vertical="top" wrapText="1"/>
    </xf>
    <xf numFmtId="0" fontId="5" fillId="0" borderId="24" xfId="0" applyFont="1" applyBorder="1" applyAlignment="1">
      <alignment horizontal="left" vertical="top" wrapText="1"/>
    </xf>
    <xf numFmtId="0" fontId="5" fillId="0" borderId="18" xfId="0" applyFont="1" applyBorder="1" applyAlignment="1">
      <alignment horizontal="left" vertical="top" wrapText="1"/>
    </xf>
    <xf numFmtId="0" fontId="5" fillId="0" borderId="72" xfId="0" applyFont="1" applyBorder="1" applyAlignment="1">
      <alignment horizontal="left" vertical="top" wrapText="1"/>
    </xf>
    <xf numFmtId="0" fontId="5" fillId="0" borderId="34" xfId="0" applyFont="1" applyBorder="1" applyAlignment="1">
      <alignment horizontal="left" vertical="center" wrapText="1"/>
    </xf>
    <xf numFmtId="0" fontId="5" fillId="0" borderId="41" xfId="0" applyFont="1" applyBorder="1" applyAlignment="1">
      <alignment horizontal="left" vertical="center" wrapText="1"/>
    </xf>
    <xf numFmtId="0" fontId="5" fillId="0" borderId="34" xfId="0" applyFont="1" applyBorder="1" applyAlignment="1">
      <alignment horizontal="left" wrapText="1"/>
    </xf>
    <xf numFmtId="0" fontId="5" fillId="0" borderId="41" xfId="0" applyFont="1" applyBorder="1" applyAlignment="1">
      <alignment horizontal="left" wrapText="1"/>
    </xf>
    <xf numFmtId="0" fontId="38" fillId="11" borderId="68" xfId="0" applyFont="1" applyFill="1" applyBorder="1" applyAlignment="1">
      <alignment horizontal="center" vertical="center" wrapText="1"/>
    </xf>
    <xf numFmtId="0" fontId="38" fillId="11" borderId="30" xfId="0" applyFont="1" applyFill="1" applyBorder="1" applyAlignment="1">
      <alignment horizontal="center" vertical="center" wrapText="1"/>
    </xf>
    <xf numFmtId="0" fontId="28" fillId="0" borderId="68" xfId="0" applyFont="1" applyBorder="1" applyAlignment="1">
      <alignment horizontal="left" vertical="top" wrapText="1"/>
    </xf>
    <xf numFmtId="0" fontId="28" fillId="0" borderId="64" xfId="0" applyFont="1" applyBorder="1" applyAlignment="1">
      <alignment horizontal="left" vertical="top" wrapText="1"/>
    </xf>
    <xf numFmtId="0" fontId="28" fillId="0" borderId="22" xfId="0" applyFont="1" applyBorder="1" applyAlignment="1">
      <alignment horizontal="left" vertical="top" wrapText="1"/>
    </xf>
    <xf numFmtId="0" fontId="28" fillId="0" borderId="23" xfId="0" applyFont="1" applyBorder="1" applyAlignment="1">
      <alignment horizontal="left" vertical="top" wrapText="1"/>
    </xf>
    <xf numFmtId="0" fontId="28" fillId="0" borderId="13" xfId="0" applyFont="1" applyBorder="1" applyAlignment="1">
      <alignment horizontal="left" vertical="top" wrapText="1"/>
    </xf>
    <xf numFmtId="1" fontId="28" fillId="0" borderId="34" xfId="0" applyNumberFormat="1" applyFont="1" applyBorder="1" applyAlignment="1" applyProtection="1">
      <alignment horizontal="left" vertical="center" wrapText="1"/>
      <protection hidden="1"/>
    </xf>
    <xf numFmtId="1" fontId="28" fillId="0" borderId="53" xfId="0" applyNumberFormat="1" applyFont="1" applyBorder="1" applyAlignment="1" applyProtection="1">
      <alignment horizontal="left" vertical="center" wrapText="1"/>
      <protection hidden="1"/>
    </xf>
    <xf numFmtId="0" fontId="5" fillId="18" borderId="68" xfId="0" applyFont="1" applyFill="1" applyBorder="1" applyAlignment="1">
      <alignment vertical="top" wrapText="1"/>
    </xf>
    <xf numFmtId="0" fontId="5" fillId="18" borderId="64" xfId="0" applyFont="1" applyFill="1" applyBorder="1" applyAlignment="1">
      <alignment vertical="top" wrapText="1"/>
    </xf>
    <xf numFmtId="0" fontId="5" fillId="18" borderId="22" xfId="0" applyFont="1" applyFill="1" applyBorder="1" applyAlignment="1">
      <alignment vertical="top" wrapText="1"/>
    </xf>
    <xf numFmtId="1" fontId="28" fillId="0" borderId="13" xfId="0" applyNumberFormat="1" applyFont="1" applyBorder="1" applyAlignment="1">
      <alignment horizontal="left" vertical="top" wrapText="1"/>
    </xf>
    <xf numFmtId="1" fontId="28" fillId="0" borderId="46" xfId="0" applyNumberFormat="1" applyFont="1" applyBorder="1" applyAlignment="1">
      <alignment horizontal="left" vertical="top" wrapText="1"/>
    </xf>
    <xf numFmtId="1" fontId="28" fillId="0" borderId="23" xfId="0" applyNumberFormat="1" applyFont="1" applyBorder="1" applyAlignment="1">
      <alignment horizontal="left" vertical="top" wrapText="1"/>
    </xf>
    <xf numFmtId="49" fontId="29" fillId="0" borderId="34" xfId="0" applyNumberFormat="1" applyFont="1" applyBorder="1" applyAlignment="1">
      <alignment horizontal="left" vertical="center" wrapText="1"/>
    </xf>
    <xf numFmtId="49" fontId="29" fillId="0" borderId="53" xfId="0" applyNumberFormat="1" applyFont="1" applyBorder="1" applyAlignment="1">
      <alignment horizontal="left" vertical="center" wrapText="1"/>
    </xf>
    <xf numFmtId="49" fontId="29" fillId="0" borderId="41" xfId="0" applyNumberFormat="1" applyFont="1" applyBorder="1" applyAlignment="1">
      <alignment horizontal="left" vertical="center" wrapText="1"/>
    </xf>
    <xf numFmtId="0" fontId="5" fillId="6" borderId="54" xfId="0" applyFont="1" applyFill="1" applyBorder="1" applyAlignment="1" applyProtection="1">
      <alignment horizontal="left" vertical="center" wrapText="1"/>
      <protection hidden="1"/>
    </xf>
    <xf numFmtId="0" fontId="5" fillId="6" borderId="39" xfId="0" applyFont="1" applyFill="1" applyBorder="1" applyAlignment="1" applyProtection="1">
      <alignment horizontal="left" vertical="center" wrapText="1"/>
      <protection hidden="1"/>
    </xf>
    <xf numFmtId="0" fontId="5" fillId="25" borderId="33" xfId="0" applyFont="1" applyFill="1" applyBorder="1" applyAlignment="1" applyProtection="1">
      <alignment horizontal="left" vertical="center" wrapText="1"/>
      <protection hidden="1"/>
    </xf>
    <xf numFmtId="0" fontId="5" fillId="25" borderId="1" xfId="0" applyFont="1" applyFill="1" applyBorder="1" applyAlignment="1" applyProtection="1">
      <alignment horizontal="left" vertical="center" wrapText="1"/>
      <protection hidden="1"/>
    </xf>
    <xf numFmtId="0" fontId="5" fillId="6" borderId="60" xfId="0" applyFont="1" applyFill="1" applyBorder="1" applyAlignment="1" applyProtection="1">
      <alignment horizontal="left" vertical="center" wrapText="1"/>
      <protection hidden="1"/>
    </xf>
    <xf numFmtId="0" fontId="5" fillId="6" borderId="47" xfId="0" applyFont="1" applyFill="1" applyBorder="1" applyAlignment="1" applyProtection="1">
      <alignment horizontal="left" vertical="center" wrapText="1"/>
      <protection hidden="1"/>
    </xf>
    <xf numFmtId="1" fontId="28" fillId="0" borderId="42" xfId="0" applyNumberFormat="1" applyFont="1" applyBorder="1" applyAlignment="1">
      <alignment horizontal="left" vertical="top" wrapText="1"/>
    </xf>
    <xf numFmtId="1" fontId="28" fillId="0" borderId="68" xfId="0" applyNumberFormat="1" applyFont="1" applyBorder="1" applyAlignment="1">
      <alignment horizontal="left" vertical="top" wrapText="1"/>
    </xf>
    <xf numFmtId="0" fontId="28" fillId="0" borderId="46" xfId="0" applyFont="1" applyBorder="1" applyAlignment="1">
      <alignment horizontal="left" vertical="top"/>
    </xf>
    <xf numFmtId="49" fontId="6" fillId="0" borderId="34" xfId="0" applyNumberFormat="1" applyFont="1" applyBorder="1" applyAlignment="1">
      <alignment horizontal="left" vertical="center" wrapText="1"/>
    </xf>
    <xf numFmtId="49" fontId="6" fillId="0" borderId="53" xfId="0" applyNumberFormat="1" applyFont="1" applyBorder="1" applyAlignment="1">
      <alignment horizontal="left" vertical="center" wrapText="1"/>
    </xf>
    <xf numFmtId="49" fontId="6" fillId="0" borderId="41" xfId="0" applyNumberFormat="1" applyFont="1" applyBorder="1" applyAlignment="1">
      <alignment horizontal="left" vertical="center" wrapText="1"/>
    </xf>
    <xf numFmtId="0" fontId="5" fillId="0" borderId="0" xfId="0" applyFont="1" applyAlignment="1">
      <alignment horizontal="center" vertical="top" wrapText="1"/>
    </xf>
    <xf numFmtId="0" fontId="28" fillId="0" borderId="0" xfId="0" applyFont="1" applyAlignment="1">
      <alignment horizontal="center" vertical="top" wrapText="1"/>
    </xf>
    <xf numFmtId="0" fontId="28" fillId="0" borderId="69" xfId="0" applyFont="1" applyBorder="1" applyAlignment="1">
      <alignment horizontal="center" vertical="top" wrapText="1"/>
    </xf>
    <xf numFmtId="0" fontId="5" fillId="6" borderId="60" xfId="0" applyFont="1" applyFill="1" applyBorder="1" applyAlignment="1">
      <alignment horizontal="left" vertical="center" wrapText="1"/>
    </xf>
    <xf numFmtId="0" fontId="5" fillId="6" borderId="47" xfId="0" applyFont="1" applyFill="1" applyBorder="1" applyAlignment="1">
      <alignment horizontal="left" vertical="center" wrapText="1"/>
    </xf>
    <xf numFmtId="0" fontId="5" fillId="6" borderId="54" xfId="0" applyFont="1" applyFill="1" applyBorder="1" applyAlignment="1">
      <alignment horizontal="left" vertical="center" wrapText="1"/>
    </xf>
    <xf numFmtId="0" fontId="5" fillId="6" borderId="39" xfId="0" applyFont="1" applyFill="1" applyBorder="1" applyAlignment="1">
      <alignment horizontal="left" vertical="center" wrapText="1"/>
    </xf>
    <xf numFmtId="0" fontId="5" fillId="6" borderId="26" xfId="0" applyFont="1" applyFill="1" applyBorder="1" applyAlignment="1">
      <alignment horizontal="left" vertical="center" wrapText="1"/>
    </xf>
    <xf numFmtId="0" fontId="5" fillId="6" borderId="15" xfId="0" applyFont="1" applyFill="1" applyBorder="1" applyAlignment="1">
      <alignment horizontal="left" vertical="center" wrapText="1"/>
    </xf>
    <xf numFmtId="0" fontId="5" fillId="6" borderId="6" xfId="0" applyFont="1" applyFill="1" applyBorder="1" applyAlignment="1">
      <alignment horizontal="left" vertical="center" wrapText="1"/>
    </xf>
    <xf numFmtId="0" fontId="5" fillId="0" borderId="64" xfId="0" applyFont="1" applyBorder="1" applyAlignment="1">
      <alignment horizontal="center" vertical="top" wrapText="1"/>
    </xf>
    <xf numFmtId="0" fontId="5" fillId="0" borderId="22" xfId="0" applyFont="1" applyBorder="1" applyAlignment="1">
      <alignment horizontal="center" vertical="top" wrapText="1"/>
    </xf>
    <xf numFmtId="0" fontId="5" fillId="0" borderId="13" xfId="0" applyFont="1" applyBorder="1" applyAlignment="1">
      <alignment horizontal="left" vertical="top" wrapText="1"/>
    </xf>
    <xf numFmtId="0" fontId="8" fillId="0" borderId="34" xfId="0" applyFont="1" applyBorder="1" applyAlignment="1">
      <alignment horizontal="center" vertical="center" wrapText="1"/>
    </xf>
    <xf numFmtId="0" fontId="8" fillId="0" borderId="41" xfId="0" applyFont="1" applyBorder="1" applyAlignment="1">
      <alignment horizontal="center" vertical="center" wrapText="1"/>
    </xf>
    <xf numFmtId="0" fontId="5" fillId="0" borderId="30" xfId="0" applyFont="1" applyBorder="1" applyAlignment="1">
      <alignment horizontal="left" vertical="top" wrapText="1"/>
    </xf>
    <xf numFmtId="0" fontId="5" fillId="0" borderId="22" xfId="0" applyFont="1" applyBorder="1" applyAlignment="1">
      <alignment horizontal="left" vertical="center" wrapText="1"/>
    </xf>
    <xf numFmtId="0" fontId="5" fillId="0" borderId="10" xfId="0" applyFont="1" applyBorder="1" applyAlignment="1">
      <alignment horizontal="left" vertical="center" wrapText="1"/>
    </xf>
    <xf numFmtId="0" fontId="5" fillId="0" borderId="59" xfId="0" applyFont="1" applyBorder="1" applyAlignment="1">
      <alignment horizontal="center" vertical="top" wrapText="1"/>
    </xf>
    <xf numFmtId="0" fontId="38" fillId="11" borderId="48" xfId="0" applyFont="1" applyFill="1" applyBorder="1" applyAlignment="1">
      <alignment horizontal="center" vertical="center" wrapText="1"/>
    </xf>
    <xf numFmtId="0" fontId="38" fillId="11" borderId="32" xfId="0" applyFont="1" applyFill="1" applyBorder="1" applyAlignment="1">
      <alignment horizontal="center" vertical="center" wrapText="1"/>
    </xf>
    <xf numFmtId="1" fontId="5" fillId="0" borderId="68" xfId="0" applyNumberFormat="1" applyFont="1" applyBorder="1" applyAlignment="1">
      <alignment horizontal="left" vertical="top" wrapText="1"/>
    </xf>
    <xf numFmtId="1" fontId="5" fillId="0" borderId="22" xfId="0" applyNumberFormat="1" applyFont="1" applyBorder="1" applyAlignment="1">
      <alignment horizontal="left" vertical="top" wrapText="1"/>
    </xf>
    <xf numFmtId="0" fontId="5" fillId="0" borderId="8" xfId="0" applyFont="1" applyBorder="1" applyAlignment="1">
      <alignment horizontal="left" vertical="top" wrapText="1"/>
    </xf>
    <xf numFmtId="0" fontId="5" fillId="0" borderId="23" xfId="0" applyFont="1" applyBorder="1" applyAlignment="1">
      <alignment horizontal="left" vertical="top"/>
    </xf>
    <xf numFmtId="0" fontId="5" fillId="0" borderId="46" xfId="0" applyFont="1" applyBorder="1" applyAlignment="1">
      <alignment horizontal="left" vertical="top"/>
    </xf>
    <xf numFmtId="0" fontId="5" fillId="0" borderId="42" xfId="0" applyFont="1" applyBorder="1" applyAlignment="1">
      <alignment horizontal="left" vertical="top"/>
    </xf>
    <xf numFmtId="0" fontId="38" fillId="11" borderId="34" xfId="0" applyFont="1" applyFill="1" applyBorder="1" applyAlignment="1">
      <alignment horizontal="center" vertical="center" wrapText="1"/>
    </xf>
    <xf numFmtId="0" fontId="38" fillId="11" borderId="41" xfId="0" applyFont="1" applyFill="1" applyBorder="1" applyAlignment="1">
      <alignment horizontal="center" vertical="center" wrapText="1"/>
    </xf>
    <xf numFmtId="0" fontId="5" fillId="0" borderId="0" xfId="0" applyFont="1" applyAlignment="1">
      <alignment horizontal="center" vertical="top"/>
    </xf>
    <xf numFmtId="0" fontId="5" fillId="0" borderId="69" xfId="0" applyFont="1" applyBorder="1" applyAlignment="1">
      <alignment horizontal="center" vertical="top" wrapText="1"/>
    </xf>
    <xf numFmtId="1" fontId="5" fillId="0" borderId="13" xfId="0" applyNumberFormat="1" applyFont="1" applyBorder="1" applyAlignment="1">
      <alignment horizontal="left" vertical="top" wrapText="1"/>
    </xf>
    <xf numFmtId="0" fontId="5" fillId="0" borderId="68" xfId="0" applyFont="1" applyBorder="1" applyAlignment="1">
      <alignment horizontal="left" vertical="center" wrapText="1"/>
    </xf>
    <xf numFmtId="0" fontId="5" fillId="0" borderId="30" xfId="0" applyFont="1" applyBorder="1" applyAlignment="1">
      <alignment horizontal="left" vertical="center" wrapText="1"/>
    </xf>
    <xf numFmtId="1" fontId="5" fillId="0" borderId="22" xfId="0" applyNumberFormat="1" applyFont="1" applyBorder="1" applyAlignment="1">
      <alignment horizontal="left" vertical="center"/>
    </xf>
    <xf numFmtId="1" fontId="5" fillId="0" borderId="10" xfId="0" applyNumberFormat="1" applyFont="1" applyBorder="1" applyAlignment="1">
      <alignment horizontal="left" vertical="center"/>
    </xf>
    <xf numFmtId="0" fontId="31" fillId="0" borderId="34" xfId="0" applyFont="1" applyBorder="1" applyAlignment="1">
      <alignment horizontal="center" vertical="center" wrapText="1"/>
    </xf>
    <xf numFmtId="0" fontId="31" fillId="0" borderId="41"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41" xfId="0" applyFont="1" applyBorder="1" applyAlignment="1">
      <alignment horizontal="center" vertical="center" wrapText="1"/>
    </xf>
    <xf numFmtId="1" fontId="5" fillId="6" borderId="33" xfId="0" applyNumberFormat="1" applyFont="1" applyFill="1" applyBorder="1" applyAlignment="1">
      <alignment vertical="center" wrapText="1"/>
    </xf>
    <xf numFmtId="1" fontId="5" fillId="6" borderId="1" xfId="0" applyNumberFormat="1" applyFont="1" applyFill="1" applyBorder="1" applyAlignment="1">
      <alignment vertical="center" wrapText="1"/>
    </xf>
    <xf numFmtId="1" fontId="5" fillId="6" borderId="60" xfId="0" applyNumberFormat="1" applyFont="1" applyFill="1" applyBorder="1" applyAlignment="1">
      <alignment vertical="center" wrapText="1"/>
    </xf>
    <xf numFmtId="1" fontId="5" fillId="6" borderId="47" xfId="0" applyNumberFormat="1" applyFont="1" applyFill="1" applyBorder="1" applyAlignment="1">
      <alignment vertical="center" wrapText="1"/>
    </xf>
    <xf numFmtId="0" fontId="28" fillId="0" borderId="23" xfId="0" applyFont="1" applyBorder="1" applyAlignment="1">
      <alignment vertical="top" wrapText="1"/>
    </xf>
    <xf numFmtId="0" fontId="28" fillId="0" borderId="46" xfId="0" applyFont="1" applyBorder="1" applyAlignment="1">
      <alignment vertical="top" wrapText="1"/>
    </xf>
    <xf numFmtId="0" fontId="28" fillId="0" borderId="42" xfId="0" applyFont="1" applyBorder="1" applyAlignment="1">
      <alignment vertical="top" wrapText="1"/>
    </xf>
    <xf numFmtId="0" fontId="28" fillId="0" borderId="59" xfId="0" applyFont="1" applyBorder="1" applyAlignment="1">
      <alignment horizontal="center" vertical="top" wrapText="1"/>
    </xf>
    <xf numFmtId="1" fontId="5" fillId="6" borderId="54" xfId="0" applyNumberFormat="1" applyFont="1" applyFill="1" applyBorder="1" applyAlignment="1">
      <alignment vertical="center" wrapText="1"/>
    </xf>
    <xf numFmtId="1" fontId="5" fillId="6" borderId="39" xfId="0" applyNumberFormat="1" applyFont="1" applyFill="1" applyBorder="1" applyAlignment="1">
      <alignment vertical="center" wrapText="1"/>
    </xf>
    <xf numFmtId="1" fontId="31" fillId="0" borderId="22" xfId="0" applyNumberFormat="1" applyFont="1" applyBorder="1" applyAlignment="1">
      <alignment horizontal="center" vertical="center" wrapText="1"/>
    </xf>
    <xf numFmtId="1" fontId="31" fillId="0" borderId="10" xfId="0" applyNumberFormat="1" applyFont="1" applyBorder="1" applyAlignment="1">
      <alignment horizontal="center" vertical="center" wrapText="1"/>
    </xf>
    <xf numFmtId="0" fontId="5" fillId="0" borderId="38" xfId="0" applyFont="1" applyBorder="1" applyAlignment="1">
      <alignment horizontal="left" vertical="top" wrapText="1"/>
    </xf>
    <xf numFmtId="0" fontId="5" fillId="0" borderId="70" xfId="0" applyFont="1" applyBorder="1" applyAlignment="1">
      <alignment horizontal="left" vertical="top" wrapText="1"/>
    </xf>
    <xf numFmtId="1" fontId="28" fillId="0" borderId="29" xfId="0" applyNumberFormat="1" applyFont="1" applyBorder="1" applyAlignment="1">
      <alignment horizontal="left" vertical="top" wrapText="1"/>
    </xf>
    <xf numFmtId="0" fontId="28" fillId="0" borderId="21" xfId="0" applyFont="1" applyBorder="1" applyAlignment="1">
      <alignment horizontal="left" vertical="top" wrapText="1"/>
    </xf>
    <xf numFmtId="0" fontId="28" fillId="0" borderId="24" xfId="0" applyFont="1" applyBorder="1" applyAlignment="1">
      <alignment horizontal="left" vertical="top" wrapText="1"/>
    </xf>
    <xf numFmtId="0" fontId="28" fillId="0" borderId="67" xfId="0" applyFont="1" applyBorder="1" applyAlignment="1">
      <alignment horizontal="left" vertical="top" wrapText="1"/>
    </xf>
    <xf numFmtId="0" fontId="28" fillId="0" borderId="38" xfId="0" applyFont="1" applyBorder="1" applyAlignment="1">
      <alignment horizontal="left" vertical="top" wrapText="1"/>
    </xf>
    <xf numFmtId="0" fontId="28" fillId="0" borderId="70" xfId="0" applyFont="1" applyBorder="1" applyAlignment="1">
      <alignment horizontal="left" vertical="top" wrapText="1"/>
    </xf>
    <xf numFmtId="1" fontId="28" fillId="0" borderId="64" xfId="0" applyNumberFormat="1" applyFont="1" applyBorder="1" applyAlignment="1">
      <alignment horizontal="left" vertical="top" wrapText="1"/>
    </xf>
    <xf numFmtId="1" fontId="28" fillId="0" borderId="22" xfId="0" applyNumberFormat="1" applyFont="1" applyBorder="1" applyAlignment="1">
      <alignment horizontal="left" vertical="top" wrapText="1"/>
    </xf>
    <xf numFmtId="1" fontId="28" fillId="0" borderId="18" xfId="0" applyNumberFormat="1" applyFont="1" applyBorder="1" applyAlignment="1">
      <alignment horizontal="left" vertical="top" wrapText="1"/>
    </xf>
    <xf numFmtId="0" fontId="28" fillId="0" borderId="72" xfId="0" applyFont="1" applyBorder="1" applyAlignment="1">
      <alignment horizontal="left" vertical="top" wrapText="1"/>
    </xf>
    <xf numFmtId="0" fontId="28" fillId="0" borderId="30" xfId="0" applyFont="1" applyBorder="1" applyAlignment="1">
      <alignment horizontal="left" vertical="top" wrapText="1"/>
    </xf>
    <xf numFmtId="0" fontId="28" fillId="0" borderId="69" xfId="0" applyFont="1" applyBorder="1" applyAlignment="1">
      <alignment horizontal="left" vertical="top" wrapText="1"/>
    </xf>
    <xf numFmtId="0" fontId="28" fillId="0" borderId="71" xfId="0" applyFont="1" applyBorder="1" applyAlignment="1">
      <alignment horizontal="left" vertical="top" wrapText="1"/>
    </xf>
    <xf numFmtId="0" fontId="28" fillId="0" borderId="13" xfId="0" applyFont="1" applyBorder="1" applyAlignment="1">
      <alignment vertical="top" wrapText="1"/>
    </xf>
    <xf numFmtId="0" fontId="45" fillId="0" borderId="33" xfId="0" applyFont="1" applyBorder="1" applyAlignment="1">
      <alignment horizontal="left" vertical="top" wrapText="1"/>
    </xf>
    <xf numFmtId="0" fontId="45" fillId="0" borderId="27" xfId="0" applyFont="1" applyBorder="1" applyAlignment="1">
      <alignment horizontal="left" vertical="top" wrapText="1"/>
    </xf>
    <xf numFmtId="0" fontId="45" fillId="0" borderId="60" xfId="0" applyFont="1" applyBorder="1" applyAlignment="1">
      <alignment horizontal="left" vertical="top" wrapText="1"/>
    </xf>
    <xf numFmtId="0" fontId="45" fillId="0" borderId="40" xfId="0" applyFont="1" applyBorder="1" applyAlignment="1">
      <alignment horizontal="left" vertical="top" wrapText="1"/>
    </xf>
    <xf numFmtId="0" fontId="8" fillId="0" borderId="68" xfId="0" applyFont="1" applyBorder="1" applyAlignment="1">
      <alignment horizontal="center" vertical="center" wrapText="1"/>
    </xf>
    <xf numFmtId="0" fontId="8" fillId="0" borderId="30" xfId="0" applyFont="1" applyBorder="1" applyAlignment="1">
      <alignment horizontal="center" vertical="center" wrapText="1"/>
    </xf>
    <xf numFmtId="0" fontId="5" fillId="6" borderId="33" xfId="0" applyFont="1" applyFill="1" applyBorder="1" applyAlignment="1">
      <alignment horizontal="left" vertical="center" wrapText="1"/>
    </xf>
    <xf numFmtId="0" fontId="5" fillId="6" borderId="1" xfId="0" applyFont="1" applyFill="1" applyBorder="1" applyAlignment="1">
      <alignment horizontal="left" vertical="center" wrapText="1"/>
    </xf>
    <xf numFmtId="0" fontId="45" fillId="0" borderId="54" xfId="0" applyFont="1" applyBorder="1" applyAlignment="1">
      <alignment horizontal="left" vertical="top" wrapText="1"/>
    </xf>
    <xf numFmtId="0" fontId="45" fillId="0" borderId="55" xfId="0" applyFont="1" applyBorder="1" applyAlignment="1">
      <alignment horizontal="left" vertical="top" wrapText="1"/>
    </xf>
    <xf numFmtId="0" fontId="28" fillId="0" borderId="64" xfId="0" applyFont="1" applyBorder="1" applyAlignment="1">
      <alignment vertical="top" wrapText="1"/>
    </xf>
    <xf numFmtId="0" fontId="5" fillId="0" borderId="25" xfId="0" applyFont="1" applyBorder="1" applyAlignment="1">
      <alignment horizontal="left" vertical="top" wrapText="1"/>
    </xf>
    <xf numFmtId="0" fontId="5" fillId="0" borderId="26" xfId="0" applyFont="1" applyBorder="1" applyAlignment="1">
      <alignment horizontal="left" vertical="top" wrapText="1"/>
    </xf>
    <xf numFmtId="0" fontId="5" fillId="0" borderId="20" xfId="0" applyFont="1" applyBorder="1" applyAlignment="1">
      <alignment horizontal="left" vertical="top" wrapText="1"/>
    </xf>
    <xf numFmtId="0" fontId="28" fillId="0" borderId="68" xfId="0" applyFont="1" applyBorder="1" applyAlignment="1">
      <alignment vertical="top" wrapText="1"/>
    </xf>
    <xf numFmtId="0" fontId="28" fillId="0" borderId="22" xfId="0" applyFont="1" applyBorder="1" applyAlignment="1">
      <alignment vertical="top" wrapText="1"/>
    </xf>
    <xf numFmtId="0" fontId="5" fillId="0" borderId="69" xfId="0" applyFont="1" applyBorder="1" applyAlignment="1">
      <alignment horizontal="left" vertical="top" wrapText="1"/>
    </xf>
    <xf numFmtId="1" fontId="28" fillId="0" borderId="68" xfId="0" applyNumberFormat="1" applyFont="1" applyBorder="1" applyAlignment="1">
      <alignment vertical="top" wrapText="1"/>
    </xf>
    <xf numFmtId="0" fontId="38" fillId="11" borderId="9" xfId="0" applyFont="1" applyFill="1" applyBorder="1" applyAlignment="1">
      <alignment horizontal="center" vertical="center" wrapText="1"/>
    </xf>
    <xf numFmtId="0" fontId="38" fillId="11" borderId="16" xfId="0" applyFont="1" applyFill="1" applyBorder="1" applyAlignment="1">
      <alignment horizontal="center" vertical="center" wrapText="1"/>
    </xf>
    <xf numFmtId="1" fontId="31" fillId="0" borderId="64" xfId="0" applyNumberFormat="1" applyFont="1" applyBorder="1" applyAlignment="1">
      <alignment horizontal="center" vertical="center" wrapText="1"/>
    </xf>
    <xf numFmtId="1" fontId="31" fillId="0" borderId="0" xfId="0" applyNumberFormat="1" applyFont="1" applyAlignment="1">
      <alignment horizontal="center" vertical="center" wrapText="1"/>
    </xf>
    <xf numFmtId="2" fontId="5" fillId="0" borderId="34" xfId="0" applyNumberFormat="1" applyFont="1" applyBorder="1" applyAlignment="1">
      <alignment horizontal="left" vertical="center" wrapText="1"/>
    </xf>
    <xf numFmtId="2" fontId="5" fillId="0" borderId="41" xfId="0" applyNumberFormat="1" applyFont="1" applyBorder="1" applyAlignment="1">
      <alignment horizontal="left" vertical="center" wrapText="1"/>
    </xf>
    <xf numFmtId="0" fontId="5" fillId="0" borderId="23" xfId="0" applyFont="1" applyBorder="1" applyAlignment="1">
      <alignment horizontal="left" vertical="center" wrapText="1"/>
    </xf>
    <xf numFmtId="0" fontId="5" fillId="0" borderId="46" xfId="0" applyFont="1" applyBorder="1" applyAlignment="1">
      <alignment horizontal="left" vertical="center" wrapText="1"/>
    </xf>
    <xf numFmtId="0" fontId="5" fillId="0" borderId="42" xfId="0" applyFont="1" applyBorder="1" applyAlignment="1">
      <alignment horizontal="left" vertical="center" wrapText="1"/>
    </xf>
    <xf numFmtId="0" fontId="5" fillId="0" borderId="71" xfId="0" applyFont="1" applyBorder="1" applyAlignment="1">
      <alignment horizontal="left" vertical="top" wrapText="1"/>
    </xf>
    <xf numFmtId="0" fontId="5" fillId="0" borderId="18" xfId="0" applyFont="1" applyBorder="1" applyAlignment="1">
      <alignment vertical="top" wrapText="1"/>
    </xf>
    <xf numFmtId="0" fontId="5" fillId="0" borderId="21" xfId="0" applyFont="1" applyBorder="1" applyAlignment="1">
      <alignment vertical="top" wrapText="1"/>
    </xf>
    <xf numFmtId="0" fontId="5" fillId="0" borderId="72" xfId="0" applyFont="1" applyBorder="1" applyAlignment="1">
      <alignment vertical="top" wrapText="1"/>
    </xf>
    <xf numFmtId="0" fontId="5" fillId="0" borderId="13" xfId="0" applyFont="1" applyBorder="1" applyAlignment="1">
      <alignment vertical="top" wrapText="1"/>
    </xf>
    <xf numFmtId="49" fontId="6" fillId="0" borderId="34" xfId="0" applyNumberFormat="1" applyFont="1" applyBorder="1" applyAlignment="1">
      <alignment vertical="center" wrapText="1"/>
    </xf>
    <xf numFmtId="49" fontId="6" fillId="0" borderId="53" xfId="0" applyNumberFormat="1" applyFont="1" applyBorder="1" applyAlignment="1">
      <alignment vertical="center" wrapText="1"/>
    </xf>
    <xf numFmtId="49" fontId="6" fillId="0" borderId="41" xfId="0" applyNumberFormat="1" applyFont="1" applyBorder="1" applyAlignment="1">
      <alignment vertical="center" wrapText="1"/>
    </xf>
    <xf numFmtId="1" fontId="5" fillId="6" borderId="54" xfId="0" applyNumberFormat="1" applyFont="1" applyFill="1" applyBorder="1" applyAlignment="1">
      <alignment horizontal="left" vertical="center" wrapText="1"/>
    </xf>
    <xf numFmtId="1" fontId="5" fillId="6" borderId="39" xfId="0" applyNumberFormat="1" applyFont="1" applyFill="1" applyBorder="1" applyAlignment="1">
      <alignment horizontal="left" vertical="center" wrapText="1"/>
    </xf>
    <xf numFmtId="1" fontId="5" fillId="6" borderId="33" xfId="0" applyNumberFormat="1" applyFont="1" applyFill="1" applyBorder="1" applyAlignment="1">
      <alignment horizontal="left" vertical="center" wrapText="1"/>
    </xf>
    <xf numFmtId="1" fontId="5" fillId="6" borderId="1" xfId="0" applyNumberFormat="1" applyFont="1" applyFill="1" applyBorder="1" applyAlignment="1">
      <alignment horizontal="left" vertical="center" wrapText="1"/>
    </xf>
    <xf numFmtId="1" fontId="5" fillId="6" borderId="60" xfId="0" applyNumberFormat="1" applyFont="1" applyFill="1" applyBorder="1" applyAlignment="1">
      <alignment horizontal="left" vertical="center" wrapText="1"/>
    </xf>
    <xf numFmtId="1" fontId="5" fillId="6" borderId="47" xfId="0" applyNumberFormat="1" applyFont="1" applyFill="1" applyBorder="1" applyAlignment="1">
      <alignment horizontal="left" vertical="center" wrapText="1"/>
    </xf>
    <xf numFmtId="0" fontId="5" fillId="0" borderId="2" xfId="0" applyFont="1" applyBorder="1" applyAlignment="1">
      <alignment horizontal="left" vertical="top" wrapText="1"/>
    </xf>
    <xf numFmtId="0" fontId="5" fillId="0" borderId="9" xfId="0" applyFont="1" applyBorder="1" applyAlignment="1">
      <alignment horizontal="left" vertical="top" wrapText="1"/>
    </xf>
    <xf numFmtId="1" fontId="5" fillId="0" borderId="29" xfId="0" applyNumberFormat="1" applyFont="1" applyBorder="1" applyAlignment="1">
      <alignment horizontal="left" vertical="top" wrapText="1"/>
    </xf>
    <xf numFmtId="0" fontId="104" fillId="0" borderId="32" xfId="0" applyFont="1" applyBorder="1" applyAlignment="1">
      <alignment horizontal="center" vertical="center" wrapText="1"/>
    </xf>
    <xf numFmtId="0" fontId="5" fillId="0" borderId="67" xfId="0" applyFont="1" applyBorder="1" applyAlignment="1">
      <alignment horizontal="left" vertical="top" wrapText="1"/>
    </xf>
    <xf numFmtId="2" fontId="5" fillId="0" borderId="23" xfId="0" applyNumberFormat="1" applyFont="1" applyBorder="1" applyAlignment="1">
      <alignment horizontal="left" vertical="top" wrapText="1"/>
    </xf>
    <xf numFmtId="2" fontId="5" fillId="0" borderId="46" xfId="0" applyNumberFormat="1" applyFont="1" applyBorder="1" applyAlignment="1">
      <alignment horizontal="left" vertical="top" wrapText="1"/>
    </xf>
    <xf numFmtId="2" fontId="5" fillId="0" borderId="42" xfId="0" applyNumberFormat="1" applyFont="1" applyBorder="1" applyAlignment="1">
      <alignment horizontal="left" vertical="top" wrapText="1"/>
    </xf>
    <xf numFmtId="2" fontId="5" fillId="0" borderId="64" xfId="0" applyNumberFormat="1" applyFont="1" applyBorder="1" applyAlignment="1">
      <alignment horizontal="left" vertical="top" wrapText="1"/>
    </xf>
    <xf numFmtId="2" fontId="5" fillId="6" borderId="54" xfId="0" applyNumberFormat="1" applyFont="1" applyFill="1" applyBorder="1" applyAlignment="1">
      <alignment horizontal="left" vertical="center" wrapText="1"/>
    </xf>
    <xf numFmtId="2" fontId="5" fillId="6" borderId="39" xfId="0" applyNumberFormat="1" applyFont="1" applyFill="1" applyBorder="1" applyAlignment="1">
      <alignment horizontal="left" vertical="center" wrapText="1"/>
    </xf>
    <xf numFmtId="2" fontId="5" fillId="6" borderId="33" xfId="0" applyNumberFormat="1" applyFont="1" applyFill="1" applyBorder="1" applyAlignment="1">
      <alignment horizontal="left" vertical="center" wrapText="1"/>
    </xf>
    <xf numFmtId="2" fontId="5" fillId="6" borderId="1" xfId="0" applyNumberFormat="1" applyFont="1" applyFill="1" applyBorder="1" applyAlignment="1">
      <alignment horizontal="left" vertical="center" wrapText="1"/>
    </xf>
    <xf numFmtId="2" fontId="5" fillId="6" borderId="60" xfId="0" applyNumberFormat="1" applyFont="1" applyFill="1" applyBorder="1" applyAlignment="1">
      <alignment horizontal="left" vertical="center" wrapText="1"/>
    </xf>
    <xf numFmtId="2" fontId="5" fillId="6" borderId="47" xfId="0" applyNumberFormat="1" applyFont="1" applyFill="1" applyBorder="1" applyAlignment="1">
      <alignment horizontal="left" vertical="center" wrapText="1"/>
    </xf>
    <xf numFmtId="0" fontId="5" fillId="0" borderId="10" xfId="0" applyFont="1" applyBorder="1" applyAlignment="1">
      <alignment horizontal="center" vertical="top" wrapText="1"/>
    </xf>
    <xf numFmtId="0" fontId="5" fillId="0" borderId="54" xfId="0" applyFont="1" applyBorder="1" applyAlignment="1">
      <alignment horizontal="left" vertical="top" wrapText="1"/>
    </xf>
    <xf numFmtId="0" fontId="5" fillId="0" borderId="55" xfId="0" applyFont="1" applyBorder="1" applyAlignment="1">
      <alignment horizontal="left" vertical="top" wrapText="1"/>
    </xf>
    <xf numFmtId="1" fontId="5" fillId="0" borderId="18" xfId="0" applyNumberFormat="1" applyFont="1" applyBorder="1" applyAlignment="1">
      <alignment horizontal="left" vertical="top" wrapText="1"/>
    </xf>
    <xf numFmtId="1" fontId="5" fillId="0" borderId="21" xfId="0" applyNumberFormat="1" applyFont="1" applyBorder="1" applyAlignment="1">
      <alignment horizontal="left" vertical="top" wrapText="1"/>
    </xf>
    <xf numFmtId="1" fontId="5" fillId="0" borderId="24" xfId="0" applyNumberFormat="1" applyFont="1" applyBorder="1" applyAlignment="1">
      <alignment horizontal="left" vertical="top" wrapText="1"/>
    </xf>
    <xf numFmtId="0" fontId="5" fillId="0" borderId="29" xfId="0" applyFont="1" applyBorder="1" applyAlignment="1">
      <alignment vertical="top" wrapText="1"/>
    </xf>
    <xf numFmtId="0" fontId="5" fillId="0" borderId="24" xfId="0" applyFont="1" applyBorder="1" applyAlignment="1">
      <alignment vertical="top" wrapText="1"/>
    </xf>
    <xf numFmtId="1" fontId="5" fillId="0" borderId="67" xfId="0" applyNumberFormat="1" applyFont="1" applyBorder="1" applyAlignment="1">
      <alignment horizontal="left" vertical="top" wrapText="1"/>
    </xf>
    <xf numFmtId="1" fontId="5" fillId="0" borderId="38" xfId="0" applyNumberFormat="1" applyFont="1" applyBorder="1" applyAlignment="1">
      <alignment horizontal="left" vertical="top" wrapText="1"/>
    </xf>
    <xf numFmtId="1" fontId="5" fillId="0" borderId="70" xfId="0" applyNumberFormat="1" applyFont="1" applyBorder="1" applyAlignment="1">
      <alignment horizontal="left" vertical="top" wrapText="1"/>
    </xf>
    <xf numFmtId="1" fontId="5" fillId="6" borderId="33" xfId="0" applyNumberFormat="1" applyFont="1" applyFill="1" applyBorder="1" applyAlignment="1">
      <alignment horizontal="right" vertical="center" wrapText="1"/>
    </xf>
    <xf numFmtId="1" fontId="5" fillId="6" borderId="1" xfId="0" applyNumberFormat="1" applyFont="1" applyFill="1" applyBorder="1" applyAlignment="1">
      <alignment horizontal="right" vertical="center" wrapText="1"/>
    </xf>
    <xf numFmtId="1" fontId="5" fillId="0" borderId="25" xfId="0" applyNumberFormat="1" applyFont="1" applyBorder="1" applyAlignment="1">
      <alignment horizontal="left" vertical="top" wrapText="1"/>
    </xf>
    <xf numFmtId="1" fontId="5" fillId="0" borderId="26" xfId="0" applyNumberFormat="1" applyFont="1" applyBorder="1" applyAlignment="1">
      <alignment horizontal="left" vertical="top" wrapText="1"/>
    </xf>
    <xf numFmtId="1" fontId="5" fillId="0" borderId="20" xfId="0" applyNumberFormat="1" applyFont="1" applyBorder="1" applyAlignment="1">
      <alignment horizontal="left" vertical="top" wrapText="1"/>
    </xf>
    <xf numFmtId="1" fontId="5" fillId="0" borderId="59" xfId="0" applyNumberFormat="1" applyFont="1" applyBorder="1" applyAlignment="1">
      <alignment horizontal="center" vertical="top" wrapText="1"/>
    </xf>
    <xf numFmtId="1" fontId="5" fillId="0" borderId="0" xfId="0" applyNumberFormat="1" applyFont="1" applyAlignment="1">
      <alignment horizontal="center" vertical="top" wrapText="1"/>
    </xf>
    <xf numFmtId="0" fontId="5" fillId="6" borderId="33" xfId="0" applyFont="1" applyFill="1" applyBorder="1" applyAlignment="1">
      <alignment vertical="center" wrapText="1"/>
    </xf>
    <xf numFmtId="0" fontId="5" fillId="6" borderId="1" xfId="0" applyFont="1" applyFill="1" applyBorder="1" applyAlignment="1">
      <alignment vertical="center" wrapText="1"/>
    </xf>
    <xf numFmtId="0" fontId="5" fillId="3" borderId="46" xfId="0" applyFont="1" applyFill="1" applyBorder="1" applyAlignment="1">
      <alignment horizontal="left" vertical="top" wrapText="1"/>
    </xf>
    <xf numFmtId="0" fontId="5" fillId="3" borderId="42" xfId="0" applyFont="1" applyFill="1" applyBorder="1" applyAlignment="1">
      <alignment horizontal="left" vertical="top" wrapText="1"/>
    </xf>
    <xf numFmtId="0" fontId="5" fillId="0" borderId="19" xfId="0" applyFont="1" applyBorder="1" applyAlignment="1">
      <alignment horizontal="left" vertical="top" wrapText="1"/>
    </xf>
    <xf numFmtId="1" fontId="5" fillId="6" borderId="33" xfId="0" applyNumberFormat="1" applyFont="1" applyFill="1" applyBorder="1" applyAlignment="1">
      <alignment horizontal="left" vertical="center"/>
    </xf>
    <xf numFmtId="1" fontId="5" fillId="6" borderId="1" xfId="0" applyNumberFormat="1" applyFont="1" applyFill="1" applyBorder="1" applyAlignment="1">
      <alignment horizontal="left" vertical="center"/>
    </xf>
    <xf numFmtId="1" fontId="5" fillId="6" borderId="60" xfId="0" applyNumberFormat="1" applyFont="1" applyFill="1" applyBorder="1" applyAlignment="1">
      <alignment horizontal="left" vertical="center"/>
    </xf>
    <xf numFmtId="1" fontId="5" fillId="6" borderId="47" xfId="0" applyNumberFormat="1" applyFont="1" applyFill="1" applyBorder="1" applyAlignment="1">
      <alignment horizontal="left" vertical="center"/>
    </xf>
    <xf numFmtId="0" fontId="5" fillId="0" borderId="10" xfId="0" applyFont="1" applyBorder="1" applyAlignment="1">
      <alignment horizontal="center" vertical="top"/>
    </xf>
    <xf numFmtId="0" fontId="5" fillId="0" borderId="69" xfId="0" applyFont="1" applyBorder="1" applyAlignment="1">
      <alignment horizontal="center" vertical="top"/>
    </xf>
    <xf numFmtId="1" fontId="31" fillId="0" borderId="64" xfId="0" applyNumberFormat="1" applyFont="1" applyBorder="1" applyAlignment="1">
      <alignment horizontal="center" vertical="center"/>
    </xf>
    <xf numFmtId="1" fontId="31" fillId="0" borderId="0" xfId="0" applyNumberFormat="1" applyFont="1" applyAlignment="1">
      <alignment horizontal="center" vertical="center"/>
    </xf>
    <xf numFmtId="0" fontId="5" fillId="0" borderId="34" xfId="0" applyFont="1" applyBorder="1" applyAlignment="1">
      <alignment horizontal="left" vertical="top" wrapText="1"/>
    </xf>
    <xf numFmtId="0" fontId="5" fillId="0" borderId="41" xfId="0" applyFont="1" applyBorder="1" applyAlignment="1">
      <alignment horizontal="left" vertical="top" wrapText="1"/>
    </xf>
    <xf numFmtId="1" fontId="5" fillId="6" borderId="54" xfId="0" applyNumberFormat="1" applyFont="1" applyFill="1" applyBorder="1" applyAlignment="1">
      <alignment horizontal="left" vertical="center"/>
    </xf>
    <xf numFmtId="1" fontId="5" fillId="6" borderId="39" xfId="0" applyNumberFormat="1" applyFont="1" applyFill="1" applyBorder="1" applyAlignment="1">
      <alignment horizontal="left" vertical="center"/>
    </xf>
    <xf numFmtId="0" fontId="38" fillId="11" borderId="37" xfId="0" applyFont="1" applyFill="1" applyBorder="1" applyAlignment="1">
      <alignment horizontal="center" vertical="center" wrapText="1"/>
    </xf>
    <xf numFmtId="1" fontId="5" fillId="0" borderId="64" xfId="0" applyNumberFormat="1" applyFont="1" applyBorder="1" applyAlignment="1">
      <alignment horizontal="center" vertical="center"/>
    </xf>
    <xf numFmtId="1" fontId="5" fillId="0" borderId="0" xfId="0" applyNumberFormat="1" applyFont="1" applyAlignment="1">
      <alignment horizontal="center" vertical="center"/>
    </xf>
    <xf numFmtId="0" fontId="5" fillId="3" borderId="23" xfId="0" applyFont="1" applyFill="1" applyBorder="1" applyAlignment="1">
      <alignment horizontal="left" vertical="top" wrapText="1"/>
    </xf>
    <xf numFmtId="1" fontId="5" fillId="0" borderId="64" xfId="0" applyNumberFormat="1" applyFont="1" applyBorder="1" applyAlignment="1">
      <alignment horizontal="center" vertical="center" wrapText="1"/>
    </xf>
    <xf numFmtId="1" fontId="5" fillId="0" borderId="0" xfId="0" applyNumberFormat="1" applyFont="1" applyAlignment="1">
      <alignment horizontal="center" vertical="center" wrapText="1"/>
    </xf>
    <xf numFmtId="0" fontId="5" fillId="0" borderId="0" xfId="0" applyFont="1" applyAlignment="1">
      <alignment horizontal="left" vertical="top" wrapText="1"/>
    </xf>
    <xf numFmtId="0" fontId="5" fillId="0" borderId="10" xfId="0" applyFont="1" applyBorder="1" applyAlignment="1">
      <alignment horizontal="left" vertical="top" wrapText="1"/>
    </xf>
    <xf numFmtId="0" fontId="5" fillId="0" borderId="62" xfId="0" applyFont="1" applyBorder="1" applyAlignment="1">
      <alignment horizontal="left" vertical="top" wrapText="1"/>
    </xf>
    <xf numFmtId="1" fontId="5" fillId="0" borderId="68" xfId="0" applyNumberFormat="1" applyFont="1" applyBorder="1" applyAlignment="1">
      <alignment vertical="top" wrapText="1"/>
    </xf>
    <xf numFmtId="1" fontId="5" fillId="0" borderId="23" xfId="0" applyNumberFormat="1" applyFont="1" applyBorder="1" applyAlignment="1">
      <alignment vertical="top" wrapText="1"/>
    </xf>
    <xf numFmtId="1" fontId="5" fillId="0" borderId="64" xfId="0" applyNumberFormat="1" applyFont="1" applyBorder="1" applyAlignment="1">
      <alignment vertical="top" wrapText="1"/>
    </xf>
    <xf numFmtId="1" fontId="5" fillId="0" borderId="22" xfId="0" applyNumberFormat="1" applyFont="1" applyBorder="1" applyAlignment="1">
      <alignment vertical="top" wrapText="1"/>
    </xf>
    <xf numFmtId="0" fontId="41" fillId="0" borderId="60" xfId="0" applyFont="1" applyBorder="1" applyAlignment="1">
      <alignment horizontal="left" vertical="top" wrapText="1"/>
    </xf>
    <xf numFmtId="0" fontId="41" fillId="0" borderId="40" xfId="0" applyFont="1" applyBorder="1" applyAlignment="1">
      <alignment horizontal="left" vertical="top" wrapText="1"/>
    </xf>
    <xf numFmtId="1" fontId="5" fillId="6" borderId="26" xfId="0" applyNumberFormat="1" applyFont="1" applyFill="1" applyBorder="1" applyAlignment="1">
      <alignment horizontal="left" vertical="center"/>
    </xf>
    <xf numFmtId="1" fontId="5" fillId="6" borderId="15" xfId="0" applyNumberFormat="1" applyFont="1" applyFill="1" applyBorder="1" applyAlignment="1">
      <alignment horizontal="left" vertical="center"/>
    </xf>
    <xf numFmtId="1" fontId="5" fillId="6" borderId="6" xfId="0" applyNumberFormat="1" applyFont="1" applyFill="1" applyBorder="1" applyAlignment="1">
      <alignment horizontal="left" vertical="center"/>
    </xf>
    <xf numFmtId="0" fontId="8" fillId="0" borderId="34" xfId="0" applyFont="1" applyBorder="1" applyAlignment="1">
      <alignment horizontal="center" wrapText="1"/>
    </xf>
    <xf numFmtId="0" fontId="8" fillId="0" borderId="41" xfId="0" applyFont="1" applyBorder="1" applyAlignment="1">
      <alignment horizontal="center" wrapText="1"/>
    </xf>
    <xf numFmtId="1" fontId="5" fillId="6" borderId="20" xfId="0" applyNumberFormat="1" applyFont="1" applyFill="1" applyBorder="1" applyAlignment="1">
      <alignment horizontal="left" vertical="center"/>
    </xf>
    <xf numFmtId="1" fontId="5" fillId="6" borderId="36" xfId="0" applyNumberFormat="1" applyFont="1" applyFill="1" applyBorder="1" applyAlignment="1">
      <alignment horizontal="left" vertical="center"/>
    </xf>
    <xf numFmtId="1" fontId="5" fillId="6" borderId="50" xfId="0" applyNumberFormat="1" applyFont="1" applyFill="1" applyBorder="1" applyAlignment="1">
      <alignment horizontal="left" vertical="center"/>
    </xf>
    <xf numFmtId="1" fontId="5" fillId="6" borderId="25" xfId="0" applyNumberFormat="1" applyFont="1" applyFill="1" applyBorder="1" applyAlignment="1">
      <alignment horizontal="left" vertical="center"/>
    </xf>
    <xf numFmtId="1" fontId="5" fillId="6" borderId="63" xfId="0" applyNumberFormat="1" applyFont="1" applyFill="1" applyBorder="1" applyAlignment="1">
      <alignment horizontal="left" vertical="center"/>
    </xf>
    <xf numFmtId="1" fontId="5" fillId="6" borderId="66" xfId="0" applyNumberFormat="1" applyFont="1" applyFill="1" applyBorder="1" applyAlignment="1">
      <alignment horizontal="left" vertical="center"/>
    </xf>
    <xf numFmtId="0" fontId="5" fillId="0" borderId="30" xfId="0" applyFont="1" applyBorder="1" applyAlignment="1">
      <alignment horizontal="left" vertical="top"/>
    </xf>
    <xf numFmtId="0" fontId="5" fillId="0" borderId="69" xfId="0" applyFont="1" applyBorder="1" applyAlignment="1">
      <alignment horizontal="left" vertical="top"/>
    </xf>
    <xf numFmtId="0" fontId="5" fillId="0" borderId="71" xfId="0" applyFont="1" applyBorder="1" applyAlignment="1">
      <alignment horizontal="left" vertical="top"/>
    </xf>
    <xf numFmtId="0" fontId="5" fillId="0" borderId="58" xfId="0" applyFont="1" applyBorder="1" applyAlignment="1">
      <alignment horizontal="left" vertical="top" wrapText="1"/>
    </xf>
    <xf numFmtId="0" fontId="39" fillId="0" borderId="23" xfId="0" applyFont="1" applyBorder="1" applyAlignment="1">
      <alignment vertical="top" wrapText="1"/>
    </xf>
    <xf numFmtId="0" fontId="39" fillId="0" borderId="46" xfId="0" applyFont="1" applyBorder="1" applyAlignment="1">
      <alignment vertical="top" wrapText="1"/>
    </xf>
    <xf numFmtId="0" fontId="39" fillId="0" borderId="42" xfId="0" applyFont="1" applyBorder="1" applyAlignment="1">
      <alignment vertical="top" wrapText="1"/>
    </xf>
    <xf numFmtId="0" fontId="57" fillId="11" borderId="9" xfId="0" applyFont="1" applyFill="1" applyBorder="1" applyAlignment="1">
      <alignment horizontal="center" vertical="center" wrapText="1"/>
    </xf>
    <xf numFmtId="0" fontId="57" fillId="11" borderId="16" xfId="0" applyFont="1" applyFill="1" applyBorder="1" applyAlignment="1">
      <alignment vertical="center" wrapText="1"/>
    </xf>
    <xf numFmtId="0" fontId="39" fillId="0" borderId="23" xfId="0" applyFont="1" applyBorder="1" applyAlignment="1">
      <alignment horizontal="left" vertical="top" wrapText="1"/>
    </xf>
    <xf numFmtId="0" fontId="39" fillId="0" borderId="46" xfId="0" applyFont="1" applyBorder="1" applyAlignment="1">
      <alignment horizontal="left" vertical="top" wrapText="1"/>
    </xf>
    <xf numFmtId="0" fontId="39" fillId="0" borderId="42" xfId="0" applyFont="1" applyBorder="1" applyAlignment="1">
      <alignment horizontal="left" vertical="top" wrapText="1"/>
    </xf>
    <xf numFmtId="0" fontId="5" fillId="0" borderId="31" xfId="0" applyFont="1" applyBorder="1" applyAlignment="1">
      <alignment horizontal="left" vertical="top" wrapText="1"/>
    </xf>
    <xf numFmtId="0" fontId="39" fillId="0" borderId="68" xfId="0" applyFont="1" applyBorder="1" applyAlignment="1">
      <alignment horizontal="left" vertical="top" wrapText="1"/>
    </xf>
    <xf numFmtId="0" fontId="39" fillId="0" borderId="64" xfId="0" applyFont="1" applyBorder="1" applyAlignment="1">
      <alignment horizontal="left" vertical="top" wrapText="1"/>
    </xf>
    <xf numFmtId="0" fontId="39" fillId="0" borderId="22" xfId="0" applyFont="1" applyBorder="1" applyAlignment="1">
      <alignment horizontal="left" vertical="top" wrapText="1"/>
    </xf>
    <xf numFmtId="2" fontId="26" fillId="0" borderId="23" xfId="0" applyNumberFormat="1" applyFont="1" applyBorder="1" applyAlignment="1">
      <alignment horizontal="left" vertical="top" wrapText="1"/>
    </xf>
    <xf numFmtId="2" fontId="26" fillId="0" borderId="46" xfId="0" applyNumberFormat="1" applyFont="1" applyBorder="1" applyAlignment="1">
      <alignment horizontal="left" vertical="top" wrapText="1"/>
    </xf>
    <xf numFmtId="2" fontId="26" fillId="0" borderId="42" xfId="0" applyNumberFormat="1" applyFont="1" applyBorder="1" applyAlignment="1">
      <alignment horizontal="left" vertical="top" wrapText="1"/>
    </xf>
    <xf numFmtId="2" fontId="26" fillId="0" borderId="68" xfId="0" applyNumberFormat="1" applyFont="1" applyBorder="1" applyAlignment="1">
      <alignment vertical="top" wrapText="1"/>
    </xf>
    <xf numFmtId="2" fontId="26" fillId="0" borderId="64" xfId="0" applyNumberFormat="1" applyFont="1" applyBorder="1" applyAlignment="1">
      <alignment vertical="top" wrapText="1"/>
    </xf>
    <xf numFmtId="2" fontId="26" fillId="0" borderId="22" xfId="0" applyNumberFormat="1" applyFont="1" applyBorder="1" applyAlignment="1">
      <alignment vertical="top" wrapText="1"/>
    </xf>
    <xf numFmtId="2" fontId="26" fillId="0" borderId="46" xfId="0" applyNumberFormat="1" applyFont="1" applyBorder="1" applyAlignment="1">
      <alignment vertical="top" wrapText="1"/>
    </xf>
    <xf numFmtId="2" fontId="26" fillId="0" borderId="42" xfId="0" applyNumberFormat="1" applyFont="1" applyBorder="1" applyAlignment="1">
      <alignment vertical="top" wrapText="1"/>
    </xf>
    <xf numFmtId="2" fontId="26" fillId="0" borderId="64" xfId="0" applyNumberFormat="1" applyFont="1" applyBorder="1" applyAlignment="1">
      <alignment horizontal="left" vertical="top" wrapText="1"/>
    </xf>
    <xf numFmtId="2" fontId="26" fillId="0" borderId="68" xfId="0" applyNumberFormat="1" applyFont="1" applyBorder="1" applyAlignment="1">
      <alignment horizontal="left" vertical="top" wrapText="1"/>
    </xf>
    <xf numFmtId="2" fontId="26" fillId="0" borderId="13" xfId="0" applyNumberFormat="1" applyFont="1" applyBorder="1" applyAlignment="1">
      <alignment horizontal="left" vertical="top" wrapText="1"/>
    </xf>
    <xf numFmtId="2" fontId="26" fillId="0" borderId="22" xfId="0" applyNumberFormat="1" applyFont="1" applyBorder="1" applyAlignment="1">
      <alignment horizontal="left" vertical="top" wrapText="1"/>
    </xf>
    <xf numFmtId="0" fontId="26" fillId="0" borderId="64" xfId="0" applyFont="1" applyBorder="1" applyAlignment="1">
      <alignment vertical="top" wrapText="1"/>
    </xf>
    <xf numFmtId="0" fontId="26" fillId="0" borderId="22" xfId="0" applyFont="1" applyBorder="1" applyAlignment="1">
      <alignment vertical="top" wrapText="1"/>
    </xf>
    <xf numFmtId="2" fontId="26" fillId="0" borderId="13" xfId="0" applyNumberFormat="1" applyFont="1" applyBorder="1" applyAlignment="1">
      <alignment vertical="top" wrapText="1"/>
    </xf>
    <xf numFmtId="2" fontId="26" fillId="0" borderId="23" xfId="0" applyNumberFormat="1" applyFont="1" applyBorder="1" applyAlignment="1">
      <alignment vertical="top" wrapText="1"/>
    </xf>
    <xf numFmtId="1" fontId="26" fillId="0" borderId="23" xfId="0" applyNumberFormat="1" applyFont="1" applyBorder="1" applyAlignment="1">
      <alignment horizontal="left" vertical="top" wrapText="1"/>
    </xf>
    <xf numFmtId="1" fontId="26" fillId="0" borderId="46" xfId="0" applyNumberFormat="1" applyFont="1" applyBorder="1" applyAlignment="1">
      <alignment horizontal="left" vertical="top" wrapText="1"/>
    </xf>
    <xf numFmtId="1" fontId="26" fillId="0" borderId="42" xfId="0" applyNumberFormat="1" applyFont="1" applyBorder="1" applyAlignment="1">
      <alignment horizontal="left" vertical="top" wrapText="1"/>
    </xf>
    <xf numFmtId="0" fontId="26" fillId="0" borderId="46" xfId="0" applyFont="1" applyBorder="1" applyAlignment="1">
      <alignment vertical="top" wrapText="1"/>
    </xf>
    <xf numFmtId="0" fontId="26" fillId="0" borderId="42" xfId="0" applyFont="1" applyBorder="1" applyAlignment="1">
      <alignment vertical="top" wrapText="1"/>
    </xf>
    <xf numFmtId="0" fontId="26" fillId="0" borderId="13" xfId="0" applyFont="1" applyBorder="1" applyAlignment="1">
      <alignment vertical="top" wrapText="1"/>
    </xf>
    <xf numFmtId="1" fontId="26" fillId="0" borderId="68" xfId="0" applyNumberFormat="1" applyFont="1" applyBorder="1" applyAlignment="1">
      <alignment horizontal="left" vertical="top" wrapText="1"/>
    </xf>
    <xf numFmtId="1" fontId="26" fillId="0" borderId="64" xfId="0" applyNumberFormat="1" applyFont="1" applyBorder="1" applyAlignment="1">
      <alignment horizontal="left" vertical="top" wrapText="1"/>
    </xf>
    <xf numFmtId="1" fontId="26" fillId="0" borderId="22" xfId="0" applyNumberFormat="1" applyFont="1" applyBorder="1" applyAlignment="1">
      <alignment horizontal="left" vertical="top" wrapText="1"/>
    </xf>
    <xf numFmtId="2" fontId="5" fillId="0" borderId="23" xfId="0" applyNumberFormat="1" applyFont="1" applyBorder="1" applyAlignment="1">
      <alignment vertical="top" wrapText="1"/>
    </xf>
    <xf numFmtId="0" fontId="38" fillId="11" borderId="16" xfId="0" applyFont="1" applyFill="1" applyBorder="1" applyAlignment="1">
      <alignment vertical="center" wrapText="1"/>
    </xf>
    <xf numFmtId="0" fontId="26" fillId="0" borderId="23" xfId="0" applyFont="1" applyBorder="1" applyAlignment="1">
      <alignment horizontal="left" vertical="top" wrapText="1"/>
    </xf>
    <xf numFmtId="0" fontId="26" fillId="0" borderId="46" xfId="0" applyFont="1" applyBorder="1" applyAlignment="1">
      <alignment horizontal="left" vertical="top" wrapText="1"/>
    </xf>
    <xf numFmtId="0" fontId="26" fillId="0" borderId="42" xfId="0" applyFont="1" applyBorder="1" applyAlignment="1">
      <alignment horizontal="left" vertical="top" wrapText="1"/>
    </xf>
    <xf numFmtId="0" fontId="26" fillId="0" borderId="13" xfId="0" applyFont="1" applyBorder="1" applyAlignment="1">
      <alignment horizontal="left" vertical="top" wrapText="1"/>
    </xf>
    <xf numFmtId="0" fontId="26" fillId="0" borderId="58" xfId="0" applyFont="1" applyBorder="1" applyAlignment="1">
      <alignment horizontal="left" vertical="top" wrapText="1"/>
    </xf>
    <xf numFmtId="1" fontId="26" fillId="0" borderId="23" xfId="0" applyNumberFormat="1" applyFont="1" applyBorder="1" applyAlignment="1">
      <alignment horizontal="center" vertical="top" wrapText="1"/>
    </xf>
    <xf numFmtId="1" fontId="26" fillId="0" borderId="46" xfId="0" applyNumberFormat="1" applyFont="1" applyBorder="1" applyAlignment="1">
      <alignment horizontal="center" vertical="top" wrapText="1"/>
    </xf>
    <xf numFmtId="1" fontId="26" fillId="0" borderId="42" xfId="0" applyNumberFormat="1" applyFont="1" applyBorder="1" applyAlignment="1">
      <alignment horizontal="center" vertical="top" wrapText="1"/>
    </xf>
    <xf numFmtId="0" fontId="5" fillId="6" borderId="54" xfId="0" applyFont="1" applyFill="1" applyBorder="1" applyAlignment="1">
      <alignment horizontal="left" vertical="center"/>
    </xf>
    <xf numFmtId="0" fontId="5" fillId="6" borderId="39" xfId="0" applyFont="1" applyFill="1" applyBorder="1" applyAlignment="1">
      <alignment horizontal="left" vertical="center"/>
    </xf>
    <xf numFmtId="0" fontId="5" fillId="6" borderId="33" xfId="0" applyFont="1" applyFill="1" applyBorder="1" applyAlignment="1">
      <alignment horizontal="left" vertical="center"/>
    </xf>
    <xf numFmtId="0" fontId="5" fillId="6" borderId="1" xfId="0" applyFont="1" applyFill="1" applyBorder="1" applyAlignment="1">
      <alignment horizontal="left" vertical="center"/>
    </xf>
    <xf numFmtId="0" fontId="5" fillId="6" borderId="60" xfId="0" applyFont="1" applyFill="1" applyBorder="1" applyAlignment="1">
      <alignment horizontal="left" vertical="center"/>
    </xf>
    <xf numFmtId="0" fontId="5" fillId="6" borderId="47" xfId="0" applyFont="1" applyFill="1" applyBorder="1" applyAlignment="1">
      <alignment horizontal="left" vertical="center"/>
    </xf>
    <xf numFmtId="1" fontId="5" fillId="0" borderId="0" xfId="0" applyNumberFormat="1" applyFont="1" applyAlignment="1">
      <alignment horizontal="center" vertical="top"/>
    </xf>
    <xf numFmtId="1" fontId="5" fillId="0" borderId="10" xfId="0" applyNumberFormat="1" applyFont="1" applyBorder="1" applyAlignment="1">
      <alignment horizontal="center" vertical="top"/>
    </xf>
    <xf numFmtId="1" fontId="26" fillId="0" borderId="22" xfId="0" applyNumberFormat="1" applyFont="1" applyBorder="1" applyAlignment="1">
      <alignment horizontal="center" vertical="center"/>
    </xf>
    <xf numFmtId="1" fontId="26" fillId="0" borderId="10" xfId="0" applyNumberFormat="1" applyFont="1" applyBorder="1" applyAlignment="1">
      <alignment horizontal="center" vertical="center"/>
    </xf>
    <xf numFmtId="0" fontId="41" fillId="0" borderId="26" xfId="0" applyFont="1" applyBorder="1" applyAlignment="1">
      <alignment horizontal="left" vertical="top" wrapText="1"/>
    </xf>
    <xf numFmtId="0" fontId="41" fillId="0" borderId="31" xfId="0" applyFont="1" applyBorder="1" applyAlignment="1">
      <alignment horizontal="left" vertical="top" wrapText="1"/>
    </xf>
    <xf numFmtId="49" fontId="41" fillId="0" borderId="54" xfId="0" applyNumberFormat="1" applyFont="1" applyBorder="1" applyAlignment="1">
      <alignment horizontal="left" vertical="top" wrapText="1"/>
    </xf>
    <xf numFmtId="49" fontId="41" fillId="0" borderId="55" xfId="0" applyNumberFormat="1" applyFont="1" applyBorder="1" applyAlignment="1">
      <alignment horizontal="left" vertical="top" wrapText="1"/>
    </xf>
    <xf numFmtId="0" fontId="23" fillId="0" borderId="23" xfId="0" applyFont="1" applyBorder="1" applyAlignment="1">
      <alignment horizontal="left" vertical="top" wrapText="1"/>
    </xf>
    <xf numFmtId="0" fontId="23" fillId="0" borderId="46" xfId="0" applyFont="1" applyBorder="1" applyAlignment="1">
      <alignment horizontal="left" vertical="top" wrapText="1"/>
    </xf>
    <xf numFmtId="0" fontId="23" fillId="0" borderId="42" xfId="0" applyFont="1" applyBorder="1" applyAlignment="1">
      <alignment horizontal="left" vertical="top" wrapText="1"/>
    </xf>
    <xf numFmtId="0" fontId="23" fillId="0" borderId="68" xfId="0" applyFont="1" applyBorder="1" applyAlignment="1">
      <alignment horizontal="left" vertical="top" wrapText="1"/>
    </xf>
    <xf numFmtId="0" fontId="23" fillId="0" borderId="64" xfId="0" applyFont="1" applyBorder="1" applyAlignment="1">
      <alignment horizontal="left" vertical="top" wrapText="1"/>
    </xf>
    <xf numFmtId="0" fontId="23" fillId="0" borderId="22" xfId="0" applyFont="1" applyBorder="1" applyAlignment="1">
      <alignment horizontal="left" vertical="top" wrapText="1"/>
    </xf>
    <xf numFmtId="49" fontId="24" fillId="0" borderId="34" xfId="0" applyNumberFormat="1" applyFont="1" applyBorder="1" applyAlignment="1">
      <alignment vertical="center" wrapText="1"/>
    </xf>
    <xf numFmtId="49" fontId="24" fillId="0" borderId="53" xfId="0" applyNumberFormat="1" applyFont="1" applyBorder="1" applyAlignment="1">
      <alignment vertical="center" wrapText="1"/>
    </xf>
    <xf numFmtId="49" fontId="24" fillId="0" borderId="41" xfId="0" applyNumberFormat="1" applyFont="1" applyBorder="1" applyAlignment="1">
      <alignment vertical="center" wrapText="1"/>
    </xf>
    <xf numFmtId="1" fontId="23" fillId="0" borderId="59" xfId="0" applyNumberFormat="1" applyFont="1" applyBorder="1" applyAlignment="1">
      <alignment horizontal="center" vertical="center" wrapText="1"/>
    </xf>
    <xf numFmtId="0" fontId="23" fillId="0" borderId="10" xfId="0" applyFont="1" applyBorder="1" applyAlignment="1">
      <alignment horizontal="center" vertical="center" wrapText="1"/>
    </xf>
    <xf numFmtId="0" fontId="23" fillId="0" borderId="0" xfId="0" applyFont="1" applyAlignment="1">
      <alignment horizontal="center" vertical="center" wrapText="1"/>
    </xf>
    <xf numFmtId="0" fontId="23" fillId="0" borderId="0" xfId="0" applyFont="1" applyAlignment="1">
      <alignment horizontal="center" vertical="top" wrapText="1"/>
    </xf>
    <xf numFmtId="0" fontId="23" fillId="0" borderId="69" xfId="0" applyFont="1" applyBorder="1" applyAlignment="1">
      <alignment horizontal="center" vertical="top" wrapText="1"/>
    </xf>
    <xf numFmtId="0" fontId="5" fillId="12" borderId="1" xfId="0" applyFont="1" applyFill="1" applyBorder="1" applyAlignment="1">
      <alignment horizontal="left" vertical="center"/>
    </xf>
    <xf numFmtId="0" fontId="23" fillId="0" borderId="46" xfId="0" applyFont="1" applyBorder="1" applyAlignment="1">
      <alignment vertical="top" wrapText="1"/>
    </xf>
    <xf numFmtId="0" fontId="23" fillId="0" borderId="59" xfId="0" applyFont="1" applyBorder="1" applyAlignment="1">
      <alignment horizontal="center" vertical="top" wrapText="1"/>
    </xf>
    <xf numFmtId="0" fontId="23" fillId="0" borderId="30" xfId="0" applyFont="1" applyBorder="1" applyAlignment="1">
      <alignment horizontal="left" vertical="top" wrapText="1"/>
    </xf>
    <xf numFmtId="0" fontId="23" fillId="0" borderId="69" xfId="0" applyFont="1" applyBorder="1" applyAlignment="1">
      <alignment horizontal="left" vertical="top" wrapText="1"/>
    </xf>
    <xf numFmtId="0" fontId="23" fillId="0" borderId="71" xfId="0" applyFont="1" applyBorder="1" applyAlignment="1">
      <alignment horizontal="left" vertical="top" wrapText="1"/>
    </xf>
    <xf numFmtId="0" fontId="23" fillId="0" borderId="23" xfId="0" applyFont="1" applyBorder="1" applyAlignment="1">
      <alignment vertical="top" wrapText="1"/>
    </xf>
    <xf numFmtId="0" fontId="23" fillId="0" borderId="42" xfId="0" applyFont="1" applyBorder="1" applyAlignment="1">
      <alignment vertical="top" wrapText="1"/>
    </xf>
    <xf numFmtId="0" fontId="23" fillId="0" borderId="13" xfId="0" applyFont="1" applyBorder="1" applyAlignment="1">
      <alignment horizontal="left" vertical="top" wrapText="1"/>
    </xf>
    <xf numFmtId="1" fontId="23" fillId="0" borderId="68" xfId="0" applyNumberFormat="1" applyFont="1" applyBorder="1" applyAlignment="1">
      <alignment horizontal="left" vertical="top" wrapText="1"/>
    </xf>
    <xf numFmtId="0" fontId="23" fillId="0" borderId="68" xfId="0" applyFont="1" applyBorder="1" applyAlignment="1">
      <alignment vertical="top" wrapText="1"/>
    </xf>
    <xf numFmtId="0" fontId="23" fillId="0" borderId="64" xfId="0" applyFont="1" applyBorder="1" applyAlignment="1">
      <alignment vertical="top" wrapText="1"/>
    </xf>
    <xf numFmtId="0" fontId="23" fillId="0" borderId="22" xfId="0" applyFont="1" applyBorder="1" applyAlignment="1">
      <alignment vertical="top" wrapText="1"/>
    </xf>
    <xf numFmtId="0" fontId="23" fillId="0" borderId="13" xfId="0" applyFont="1" applyBorder="1" applyAlignment="1">
      <alignment vertical="top" wrapText="1"/>
    </xf>
    <xf numFmtId="0" fontId="0" fillId="0" borderId="46" xfId="0" applyBorder="1" applyAlignment="1">
      <alignment horizontal="left" vertical="top"/>
    </xf>
    <xf numFmtId="0" fontId="0" fillId="0" borderId="42" xfId="0" applyBorder="1" applyAlignment="1">
      <alignment horizontal="left" vertical="top"/>
    </xf>
    <xf numFmtId="0" fontId="0" fillId="0" borderId="64" xfId="0" applyBorder="1" applyAlignment="1">
      <alignment horizontal="left" vertical="top"/>
    </xf>
    <xf numFmtId="0" fontId="0" fillId="0" borderId="22" xfId="0" applyBorder="1" applyAlignment="1">
      <alignment horizontal="left" vertical="top"/>
    </xf>
    <xf numFmtId="1" fontId="23" fillId="0" borderId="23" xfId="0" applyNumberFormat="1" applyFont="1" applyBorder="1" applyAlignment="1">
      <alignment horizontal="left" vertical="top" wrapText="1"/>
    </xf>
    <xf numFmtId="1" fontId="23" fillId="0" borderId="46" xfId="0" applyNumberFormat="1" applyFont="1" applyBorder="1" applyAlignment="1">
      <alignment horizontal="left" vertical="top" wrapText="1"/>
    </xf>
    <xf numFmtId="1" fontId="23" fillId="0" borderId="42" xfId="0" applyNumberFormat="1" applyFont="1" applyBorder="1" applyAlignment="1">
      <alignment horizontal="left" vertical="top" wrapText="1"/>
    </xf>
    <xf numFmtId="1" fontId="23" fillId="0" borderId="64" xfId="0" applyNumberFormat="1" applyFont="1" applyBorder="1" applyAlignment="1">
      <alignment horizontal="center" vertical="center" wrapText="1"/>
    </xf>
    <xf numFmtId="1" fontId="23" fillId="0" borderId="0" xfId="0" applyNumberFormat="1" applyFont="1" applyAlignment="1">
      <alignment horizontal="center" vertical="center" wrapText="1"/>
    </xf>
    <xf numFmtId="1" fontId="23" fillId="0" borderId="64" xfId="0" applyNumberFormat="1" applyFont="1" applyBorder="1" applyAlignment="1">
      <alignment horizontal="left" vertical="top" wrapText="1"/>
    </xf>
    <xf numFmtId="1" fontId="23" fillId="0" borderId="22" xfId="0" applyNumberFormat="1" applyFont="1" applyBorder="1" applyAlignment="1">
      <alignment horizontal="left" vertical="top" wrapText="1"/>
    </xf>
    <xf numFmtId="0" fontId="23" fillId="0" borderId="25" xfId="0" applyFont="1" applyBorder="1" applyAlignment="1">
      <alignment horizontal="left" vertical="top" wrapText="1"/>
    </xf>
    <xf numFmtId="0" fontId="23" fillId="0" borderId="26" xfId="0" applyFont="1" applyBorder="1" applyAlignment="1">
      <alignment horizontal="left" vertical="top" wrapText="1"/>
    </xf>
    <xf numFmtId="0" fontId="23" fillId="0" borderId="20" xfId="0" applyFont="1" applyBorder="1" applyAlignment="1">
      <alignment horizontal="left" vertical="top" wrapText="1"/>
    </xf>
    <xf numFmtId="1" fontId="23" fillId="0" borderId="68" xfId="0" applyNumberFormat="1" applyFont="1" applyBorder="1" applyAlignment="1">
      <alignment vertical="top" wrapText="1"/>
    </xf>
    <xf numFmtId="0" fontId="26" fillId="0" borderId="68" xfId="0" applyFont="1" applyBorder="1" applyAlignment="1">
      <alignment horizontal="left" vertical="top" wrapText="1"/>
    </xf>
    <xf numFmtId="0" fontId="26" fillId="0" borderId="64" xfId="0" applyFont="1" applyBorder="1" applyAlignment="1">
      <alignment horizontal="left" vertical="top" wrapText="1"/>
    </xf>
    <xf numFmtId="0" fontId="26" fillId="0" borderId="22" xfId="0" applyFont="1" applyBorder="1" applyAlignment="1">
      <alignment horizontal="left" vertical="top" wrapText="1"/>
    </xf>
    <xf numFmtId="0" fontId="26" fillId="0" borderId="23" xfId="0" applyFont="1" applyBorder="1" applyAlignment="1">
      <alignment vertical="top" wrapText="1"/>
    </xf>
    <xf numFmtId="0" fontId="26" fillId="0" borderId="0" xfId="0" applyFont="1" applyAlignment="1">
      <alignment horizontal="center" vertical="top" wrapText="1"/>
    </xf>
    <xf numFmtId="49" fontId="27" fillId="0" borderId="20" xfId="0" applyNumberFormat="1" applyFont="1" applyBorder="1" applyAlignment="1">
      <alignment horizontal="left" vertical="center" wrapText="1"/>
    </xf>
    <xf numFmtId="49" fontId="27" fillId="0" borderId="36" xfId="0" applyNumberFormat="1" applyFont="1" applyBorder="1" applyAlignment="1">
      <alignment horizontal="left" vertical="center" wrapText="1"/>
    </xf>
    <xf numFmtId="49" fontId="27" fillId="0" borderId="25" xfId="0" applyNumberFormat="1" applyFont="1" applyBorder="1" applyAlignment="1">
      <alignment horizontal="left" vertical="center" wrapText="1"/>
    </xf>
    <xf numFmtId="49" fontId="27" fillId="0" borderId="63" xfId="0" applyNumberFormat="1" applyFont="1" applyBorder="1" applyAlignment="1">
      <alignment horizontal="left" vertical="center" wrapText="1"/>
    </xf>
    <xf numFmtId="0" fontId="26" fillId="0" borderId="69" xfId="0" applyFont="1" applyBorder="1" applyAlignment="1">
      <alignment horizontal="left" vertical="top" wrapText="1"/>
    </xf>
    <xf numFmtId="0" fontId="26" fillId="0" borderId="71" xfId="0" applyFont="1" applyBorder="1" applyAlignment="1">
      <alignment horizontal="left" vertical="top" wrapText="1"/>
    </xf>
    <xf numFmtId="0" fontId="26" fillId="0" borderId="68" xfId="0" applyFont="1" applyBorder="1" applyAlignment="1">
      <alignment vertical="top" wrapText="1"/>
    </xf>
    <xf numFmtId="0" fontId="26" fillId="0" borderId="59" xfId="0" applyFont="1" applyBorder="1" applyAlignment="1">
      <alignment horizontal="center" vertical="top" wrapText="1"/>
    </xf>
    <xf numFmtId="0" fontId="26" fillId="0" borderId="21" xfId="0" applyFont="1" applyBorder="1" applyAlignment="1">
      <alignment vertical="top" wrapText="1"/>
    </xf>
    <xf numFmtId="0" fontId="26" fillId="0" borderId="24" xfId="0" applyFont="1" applyBorder="1" applyAlignment="1">
      <alignment vertical="top" wrapText="1"/>
    </xf>
    <xf numFmtId="1" fontId="31" fillId="0" borderId="13" xfId="0" applyNumberFormat="1" applyFont="1" applyBorder="1" applyAlignment="1">
      <alignment horizontal="center" vertical="center" wrapText="1"/>
    </xf>
    <xf numFmtId="0" fontId="6" fillId="0" borderId="68" xfId="0" applyFont="1" applyBorder="1" applyAlignment="1">
      <alignment horizontal="center" vertical="center" wrapText="1"/>
    </xf>
    <xf numFmtId="0" fontId="6" fillId="0" borderId="30" xfId="0" applyFont="1" applyBorder="1" applyAlignment="1">
      <alignment horizontal="center" vertical="center" wrapText="1"/>
    </xf>
    <xf numFmtId="0" fontId="41" fillId="0" borderId="54" xfId="0" applyFont="1" applyBorder="1" applyAlignment="1">
      <alignment horizontal="left" vertical="top" wrapText="1"/>
    </xf>
    <xf numFmtId="0" fontId="41" fillId="0" borderId="55" xfId="0" applyFont="1" applyBorder="1" applyAlignment="1">
      <alignment horizontal="left" vertical="top" wrapText="1"/>
    </xf>
    <xf numFmtId="0" fontId="39" fillId="0" borderId="30" xfId="0" applyFont="1" applyBorder="1" applyAlignment="1">
      <alignment horizontal="left" vertical="top" wrapText="1"/>
    </xf>
    <xf numFmtId="0" fontId="39" fillId="0" borderId="38" xfId="0" applyFont="1" applyBorder="1" applyAlignment="1">
      <alignment horizontal="left" vertical="top" wrapText="1"/>
    </xf>
    <xf numFmtId="0" fontId="39" fillId="0" borderId="70" xfId="0" applyFont="1" applyBorder="1" applyAlignment="1">
      <alignment horizontal="left" vertical="top" wrapText="1"/>
    </xf>
    <xf numFmtId="49" fontId="27" fillId="0" borderId="34" xfId="0" applyNumberFormat="1" applyFont="1" applyBorder="1" applyAlignment="1">
      <alignment horizontal="left" vertical="center" wrapText="1"/>
    </xf>
    <xf numFmtId="49" fontId="27" fillId="0" borderId="53" xfId="0" applyNumberFormat="1" applyFont="1" applyBorder="1" applyAlignment="1">
      <alignment horizontal="left" vertical="center" wrapText="1"/>
    </xf>
    <xf numFmtId="49" fontId="27" fillId="0" borderId="41" xfId="0" applyNumberFormat="1" applyFont="1" applyBorder="1" applyAlignment="1">
      <alignment horizontal="left" vertical="center" wrapText="1"/>
    </xf>
    <xf numFmtId="0" fontId="26" fillId="0" borderId="69" xfId="0" applyFont="1" applyBorder="1" applyAlignment="1">
      <alignment horizontal="center" vertical="top" wrapText="1"/>
    </xf>
    <xf numFmtId="0" fontId="26" fillId="0" borderId="10" xfId="0" applyFont="1" applyBorder="1" applyAlignment="1">
      <alignment horizontal="center" vertical="top" wrapText="1"/>
    </xf>
    <xf numFmtId="49" fontId="38" fillId="11" borderId="48" xfId="0" applyNumberFormat="1" applyFont="1" applyFill="1" applyBorder="1" applyAlignment="1">
      <alignment horizontal="center" vertical="center" wrapText="1"/>
    </xf>
    <xf numFmtId="49" fontId="38" fillId="11" borderId="36" xfId="0" applyNumberFormat="1" applyFont="1" applyFill="1" applyBorder="1" applyAlignment="1">
      <alignment horizontal="center" vertical="center" wrapText="1"/>
    </xf>
    <xf numFmtId="0" fontId="26" fillId="0" borderId="8" xfId="0" applyFont="1" applyBorder="1" applyAlignment="1">
      <alignment vertical="top" wrapText="1"/>
    </xf>
    <xf numFmtId="0" fontId="26" fillId="0" borderId="2" xfId="0" applyFont="1" applyBorder="1" applyAlignment="1">
      <alignment vertical="top" wrapText="1"/>
    </xf>
    <xf numFmtId="0" fontId="26" fillId="0" borderId="9" xfId="0" applyFont="1" applyBorder="1" applyAlignment="1">
      <alignment vertical="top" wrapText="1"/>
    </xf>
    <xf numFmtId="1" fontId="26" fillId="0" borderId="68" xfId="0" applyNumberFormat="1" applyFont="1" applyBorder="1" applyAlignment="1">
      <alignment vertical="top" wrapText="1"/>
    </xf>
    <xf numFmtId="0" fontId="26" fillId="0" borderId="18" xfId="0" applyFont="1" applyBorder="1" applyAlignment="1">
      <alignment vertical="top" wrapText="1"/>
    </xf>
    <xf numFmtId="0" fontId="26" fillId="0" borderId="72" xfId="0" applyFont="1" applyBorder="1" applyAlignment="1">
      <alignment vertical="top" wrapText="1"/>
    </xf>
    <xf numFmtId="0" fontId="5" fillId="18" borderId="42" xfId="0" applyFont="1" applyFill="1" applyBorder="1" applyAlignment="1">
      <alignment horizontal="left" vertical="top" wrapText="1"/>
    </xf>
    <xf numFmtId="1" fontId="26" fillId="0" borderId="13" xfId="0" applyNumberFormat="1" applyFont="1" applyBorder="1" applyAlignment="1">
      <alignment horizontal="left" vertical="top" wrapText="1"/>
    </xf>
    <xf numFmtId="0" fontId="26" fillId="0" borderId="29" xfId="0" applyFont="1" applyBorder="1" applyAlignment="1">
      <alignment horizontal="left" vertical="top" wrapText="1"/>
    </xf>
    <xf numFmtId="0" fontId="26" fillId="0" borderId="21" xfId="0" applyFont="1" applyBorder="1" applyAlignment="1">
      <alignment horizontal="left" vertical="top" wrapText="1"/>
    </xf>
    <xf numFmtId="0" fontId="26" fillId="0" borderId="24" xfId="0" applyFont="1" applyBorder="1" applyAlignment="1">
      <alignment horizontal="left" vertical="top" wrapText="1"/>
    </xf>
    <xf numFmtId="0" fontId="26" fillId="0" borderId="72" xfId="0" applyFont="1" applyBorder="1" applyAlignment="1">
      <alignment horizontal="left" vertical="top" wrapText="1"/>
    </xf>
    <xf numFmtId="0" fontId="5" fillId="0" borderId="59" xfId="0" applyFont="1" applyBorder="1" applyAlignment="1">
      <alignment horizontal="center" wrapText="1"/>
    </xf>
    <xf numFmtId="0" fontId="5" fillId="0" borderId="10" xfId="0" applyFont="1" applyBorder="1" applyAlignment="1">
      <alignment horizontal="center" wrapText="1"/>
    </xf>
    <xf numFmtId="0" fontId="5" fillId="0" borderId="0" xfId="0" applyFont="1" applyAlignment="1">
      <alignment horizontal="center" wrapText="1"/>
    </xf>
    <xf numFmtId="0" fontId="5" fillId="0" borderId="69" xfId="0" applyFont="1" applyBorder="1" applyAlignment="1">
      <alignment horizontal="center" wrapText="1"/>
    </xf>
    <xf numFmtId="0" fontId="31" fillId="0" borderId="64" xfId="0" applyFont="1" applyBorder="1" applyAlignment="1">
      <alignment horizontal="center" vertical="center" wrapText="1"/>
    </xf>
    <xf numFmtId="0" fontId="31" fillId="0" borderId="0" xfId="0" applyFont="1" applyAlignment="1">
      <alignment horizontal="center" vertical="center" wrapText="1"/>
    </xf>
    <xf numFmtId="0" fontId="57" fillId="11" borderId="68" xfId="0" applyFont="1" applyFill="1" applyBorder="1" applyAlignment="1">
      <alignment horizontal="center" vertical="center" wrapText="1"/>
    </xf>
    <xf numFmtId="0" fontId="57" fillId="11" borderId="41" xfId="0" applyFont="1" applyFill="1" applyBorder="1" applyAlignment="1">
      <alignment horizontal="left" vertical="center" wrapText="1"/>
    </xf>
    <xf numFmtId="0" fontId="79" fillId="0" borderId="33" xfId="0" applyFont="1" applyBorder="1" applyAlignment="1">
      <alignment vertical="top" wrapText="1"/>
    </xf>
    <xf numFmtId="0" fontId="79" fillId="0" borderId="27" xfId="0" applyFont="1" applyBorder="1" applyAlignment="1">
      <alignment vertical="top" wrapText="1"/>
    </xf>
    <xf numFmtId="0" fontId="82" fillId="0" borderId="33" xfId="0" applyFont="1" applyBorder="1" applyAlignment="1">
      <alignment vertical="top" wrapText="1"/>
    </xf>
    <xf numFmtId="0" fontId="82" fillId="0" borderId="27" xfId="0" applyFont="1" applyBorder="1" applyAlignment="1">
      <alignment vertical="top" wrapText="1"/>
    </xf>
    <xf numFmtId="0" fontId="82" fillId="0" borderId="60" xfId="0" applyFont="1" applyBorder="1" applyAlignment="1">
      <alignment vertical="top" wrapText="1"/>
    </xf>
    <xf numFmtId="0" fontId="82" fillId="0" borderId="40" xfId="0" applyFont="1" applyBorder="1" applyAlignment="1">
      <alignment vertical="top" wrapText="1"/>
    </xf>
    <xf numFmtId="0" fontId="79" fillId="0" borderId="23" xfId="0" applyFont="1" applyBorder="1" applyAlignment="1">
      <alignment horizontal="left" vertical="top"/>
    </xf>
    <xf numFmtId="0" fontId="79" fillId="0" borderId="46" xfId="0" applyFont="1" applyBorder="1" applyAlignment="1">
      <alignment horizontal="left" vertical="top"/>
    </xf>
    <xf numFmtId="0" fontId="79" fillId="0" borderId="42" xfId="0" applyFont="1" applyBorder="1" applyAlignment="1">
      <alignment horizontal="left" vertical="top"/>
    </xf>
    <xf numFmtId="0" fontId="81" fillId="0" borderId="34" xfId="0" applyFont="1" applyBorder="1" applyAlignment="1">
      <alignment horizontal="right" vertical="center"/>
    </xf>
    <xf numFmtId="0" fontId="81" fillId="0" borderId="53" xfId="0" applyFont="1" applyBorder="1" applyAlignment="1">
      <alignment horizontal="right" vertical="center"/>
    </xf>
    <xf numFmtId="0" fontId="81" fillId="0" borderId="41" xfId="0" applyFont="1" applyBorder="1" applyAlignment="1">
      <alignment horizontal="right" vertical="center"/>
    </xf>
    <xf numFmtId="0" fontId="5" fillId="0" borderId="33" xfId="0" applyFont="1" applyBorder="1" applyAlignment="1">
      <alignment vertical="top" wrapText="1"/>
    </xf>
    <xf numFmtId="0" fontId="5" fillId="0" borderId="27" xfId="0" applyFont="1" applyBorder="1" applyAlignment="1">
      <alignment vertical="top" wrapText="1"/>
    </xf>
    <xf numFmtId="0" fontId="81" fillId="0" borderId="68" xfId="0" applyFont="1" applyBorder="1" applyAlignment="1">
      <alignment horizontal="center" vertical="center" wrapText="1"/>
    </xf>
    <xf numFmtId="0" fontId="81" fillId="0" borderId="30" xfId="0" applyFont="1" applyBorder="1" applyAlignment="1">
      <alignment horizontal="center" vertical="center" wrapText="1"/>
    </xf>
    <xf numFmtId="0" fontId="79" fillId="0" borderId="54" xfId="0" applyFont="1" applyBorder="1" applyAlignment="1">
      <alignment vertical="top" wrapText="1"/>
    </xf>
    <xf numFmtId="0" fontId="79" fillId="0" borderId="55" xfId="0" applyFont="1" applyBorder="1" applyAlignment="1">
      <alignment vertical="top" wrapText="1"/>
    </xf>
    <xf numFmtId="0" fontId="79" fillId="6" borderId="20" xfId="0" applyFont="1" applyFill="1" applyBorder="1" applyAlignment="1">
      <alignment horizontal="right" vertical="center" wrapText="1"/>
    </xf>
    <xf numFmtId="0" fontId="79" fillId="6" borderId="36" xfId="0" applyFont="1" applyFill="1" applyBorder="1" applyAlignment="1">
      <alignment horizontal="right" vertical="center" wrapText="1"/>
    </xf>
    <xf numFmtId="0" fontId="79" fillId="6" borderId="50" xfId="0" applyFont="1" applyFill="1" applyBorder="1" applyAlignment="1">
      <alignment horizontal="right" vertical="center" wrapText="1"/>
    </xf>
    <xf numFmtId="0" fontId="79" fillId="6" borderId="25" xfId="0" applyFont="1" applyFill="1" applyBorder="1" applyAlignment="1">
      <alignment horizontal="right" vertical="center" wrapText="1"/>
    </xf>
    <xf numFmtId="0" fontId="79" fillId="6" borderId="63" xfId="0" applyFont="1" applyFill="1" applyBorder="1" applyAlignment="1">
      <alignment horizontal="right" vertical="center" wrapText="1"/>
    </xf>
    <xf numFmtId="0" fontId="79" fillId="6" borderId="66" xfId="0" applyFont="1" applyFill="1" applyBorder="1" applyAlignment="1">
      <alignment horizontal="right" vertical="center" wrapText="1"/>
    </xf>
    <xf numFmtId="0" fontId="79" fillId="6" borderId="26" xfId="0" applyFont="1" applyFill="1" applyBorder="1" applyAlignment="1">
      <alignment horizontal="right" vertical="center" wrapText="1"/>
    </xf>
    <xf numFmtId="0" fontId="79" fillId="6" borderId="15" xfId="0" applyFont="1" applyFill="1" applyBorder="1" applyAlignment="1">
      <alignment horizontal="right" vertical="center" wrapText="1"/>
    </xf>
    <xf numFmtId="0" fontId="79" fillId="6" borderId="6" xfId="0" applyFont="1" applyFill="1" applyBorder="1" applyAlignment="1">
      <alignment horizontal="right" vertical="center" wrapText="1"/>
    </xf>
    <xf numFmtId="0" fontId="79" fillId="0" borderId="23" xfId="0" applyFont="1" applyBorder="1" applyAlignment="1">
      <alignment vertical="top" wrapText="1"/>
    </xf>
    <xf numFmtId="0" fontId="79" fillId="0" borderId="46" xfId="0" applyFont="1" applyBorder="1" applyAlignment="1">
      <alignment vertical="top" wrapText="1"/>
    </xf>
    <xf numFmtId="0" fontId="79" fillId="0" borderId="42" xfId="0" applyFont="1" applyBorder="1" applyAlignment="1">
      <alignment vertical="top" wrapText="1"/>
    </xf>
    <xf numFmtId="0" fontId="79" fillId="0" borderId="23" xfId="0" applyFont="1" applyBorder="1" applyAlignment="1">
      <alignment horizontal="left" vertical="top" wrapText="1"/>
    </xf>
    <xf numFmtId="0" fontId="79" fillId="0" borderId="46" xfId="0" applyFont="1" applyBorder="1" applyAlignment="1">
      <alignment horizontal="left" vertical="top" wrapText="1"/>
    </xf>
    <xf numFmtId="0" fontId="79" fillId="0" borderId="42" xfId="0" applyFont="1" applyBorder="1" applyAlignment="1">
      <alignment horizontal="left" vertical="top" wrapText="1"/>
    </xf>
    <xf numFmtId="0" fontId="79" fillId="0" borderId="68" xfId="0" applyFont="1" applyBorder="1" applyAlignment="1">
      <alignment horizontal="left" vertical="top" wrapText="1"/>
    </xf>
    <xf numFmtId="0" fontId="79" fillId="0" borderId="64" xfId="0" applyFont="1" applyBorder="1" applyAlignment="1">
      <alignment horizontal="left" vertical="top" wrapText="1"/>
    </xf>
    <xf numFmtId="0" fontId="79" fillId="0" borderId="22" xfId="0" applyFont="1" applyBorder="1" applyAlignment="1">
      <alignment horizontal="left" vertical="top" wrapText="1"/>
    </xf>
    <xf numFmtId="1" fontId="76" fillId="0" borderId="22" xfId="0" applyNumberFormat="1" applyFont="1" applyBorder="1" applyAlignment="1">
      <alignment horizontal="center" vertical="center"/>
    </xf>
    <xf numFmtId="1" fontId="76" fillId="0" borderId="10" xfId="0" applyNumberFormat="1" applyFont="1" applyBorder="1" applyAlignment="1">
      <alignment horizontal="center" vertical="center"/>
    </xf>
    <xf numFmtId="0" fontId="79" fillId="0" borderId="68" xfId="0" applyFont="1" applyBorder="1" applyAlignment="1">
      <alignment vertical="top" wrapText="1"/>
    </xf>
    <xf numFmtId="0" fontId="79" fillId="0" borderId="64" xfId="0" applyFont="1" applyBorder="1" applyAlignment="1">
      <alignment vertical="top" wrapText="1"/>
    </xf>
    <xf numFmtId="0" fontId="79" fillId="0" borderId="22" xfId="0" applyFont="1" applyBorder="1" applyAlignment="1">
      <alignment vertical="top" wrapText="1"/>
    </xf>
    <xf numFmtId="1" fontId="79" fillId="0" borderId="68" xfId="0" applyNumberFormat="1" applyFont="1" applyBorder="1" applyAlignment="1">
      <alignment horizontal="left" vertical="top" wrapText="1"/>
    </xf>
    <xf numFmtId="1" fontId="79" fillId="0" borderId="64" xfId="0" applyNumberFormat="1" applyFont="1" applyBorder="1" applyAlignment="1">
      <alignment horizontal="left" vertical="top" wrapText="1"/>
    </xf>
    <xf numFmtId="1" fontId="79" fillId="0" borderId="22" xfId="0" applyNumberFormat="1" applyFont="1" applyBorder="1" applyAlignment="1">
      <alignment horizontal="left" vertical="top" wrapText="1"/>
    </xf>
    <xf numFmtId="1" fontId="79" fillId="0" borderId="23" xfId="0" applyNumberFormat="1" applyFont="1" applyBorder="1" applyAlignment="1">
      <alignment horizontal="left" vertical="top" wrapText="1"/>
    </xf>
    <xf numFmtId="1" fontId="79" fillId="0" borderId="46" xfId="0" applyNumberFormat="1" applyFont="1" applyBorder="1" applyAlignment="1">
      <alignment horizontal="left" vertical="top" wrapText="1"/>
    </xf>
    <xf numFmtId="1" fontId="79" fillId="0" borderId="42" xfId="0" applyNumberFormat="1" applyFont="1" applyBorder="1" applyAlignment="1">
      <alignment horizontal="left" vertical="top" wrapText="1"/>
    </xf>
    <xf numFmtId="0" fontId="79" fillId="0" borderId="13" xfId="0" applyFont="1" applyBorder="1" applyAlignment="1">
      <alignment horizontal="left" vertical="top" wrapText="1"/>
    </xf>
    <xf numFmtId="0" fontId="79" fillId="18" borderId="46" xfId="0" applyFont="1" applyFill="1" applyBorder="1" applyAlignment="1">
      <alignment horizontal="left" vertical="top" wrapText="1"/>
    </xf>
    <xf numFmtId="0" fontId="79" fillId="18" borderId="42" xfId="0" applyFont="1" applyFill="1" applyBorder="1" applyAlignment="1">
      <alignment horizontal="left" vertical="top" wrapText="1"/>
    </xf>
    <xf numFmtId="0" fontId="79" fillId="0" borderId="59" xfId="0" applyFont="1" applyBorder="1" applyAlignment="1">
      <alignment horizontal="center" vertical="top" wrapText="1"/>
    </xf>
    <xf numFmtId="0" fontId="79" fillId="0" borderId="0" xfId="0" applyFont="1" applyAlignment="1">
      <alignment horizontal="center" vertical="top" wrapText="1"/>
    </xf>
    <xf numFmtId="0" fontId="79" fillId="0" borderId="10" xfId="0" applyFont="1" applyBorder="1" applyAlignment="1">
      <alignment horizontal="center" vertical="top" wrapText="1"/>
    </xf>
    <xf numFmtId="0" fontId="79" fillId="0" borderId="18" xfId="0" applyFont="1" applyBorder="1" applyAlignment="1">
      <alignment horizontal="left" vertical="top" wrapText="1"/>
    </xf>
    <xf numFmtId="0" fontId="79" fillId="0" borderId="21" xfId="0" applyFont="1" applyBorder="1" applyAlignment="1">
      <alignment horizontal="left" vertical="top" wrapText="1"/>
    </xf>
    <xf numFmtId="0" fontId="79" fillId="0" borderId="72" xfId="0" applyFont="1" applyBorder="1" applyAlignment="1">
      <alignment horizontal="left" vertical="top" wrapText="1"/>
    </xf>
    <xf numFmtId="0" fontId="79" fillId="0" borderId="13" xfId="0" applyFont="1" applyBorder="1" applyAlignment="1">
      <alignment vertical="top" wrapText="1"/>
    </xf>
    <xf numFmtId="0" fontId="79" fillId="0" borderId="34" xfId="0" applyFont="1" applyBorder="1" applyAlignment="1">
      <alignment horizontal="left" vertical="center" wrapText="1"/>
    </xf>
    <xf numFmtId="0" fontId="79" fillId="0" borderId="41" xfId="0" applyFont="1" applyBorder="1" applyAlignment="1">
      <alignment horizontal="left" vertical="center" wrapText="1"/>
    </xf>
    <xf numFmtId="0" fontId="79" fillId="0" borderId="29" xfId="0" applyFont="1" applyBorder="1" applyAlignment="1">
      <alignment horizontal="left" vertical="top" wrapText="1"/>
    </xf>
    <xf numFmtId="0" fontId="79" fillId="0" borderId="24" xfId="0" applyFont="1" applyBorder="1" applyAlignment="1">
      <alignment horizontal="left" vertical="top" wrapText="1"/>
    </xf>
    <xf numFmtId="0" fontId="16" fillId="20" borderId="34" xfId="0" applyFont="1" applyFill="1" applyBorder="1" applyAlignment="1">
      <alignment horizontal="center" vertical="center" wrapText="1"/>
    </xf>
    <xf numFmtId="0" fontId="16" fillId="20" borderId="41" xfId="0" applyFont="1" applyFill="1" applyBorder="1" applyAlignment="1">
      <alignment horizontal="center" vertical="center" wrapText="1"/>
    </xf>
    <xf numFmtId="1" fontId="5" fillId="0" borderId="22" xfId="0" applyNumberFormat="1" applyFont="1" applyBorder="1" applyAlignment="1">
      <alignment horizontal="center" vertical="center" wrapText="1"/>
    </xf>
    <xf numFmtId="1" fontId="5" fillId="0" borderId="10" xfId="0" applyNumberFormat="1" applyFont="1" applyBorder="1" applyAlignment="1">
      <alignment horizontal="center" vertical="center" wrapText="1"/>
    </xf>
    <xf numFmtId="0" fontId="5" fillId="0" borderId="59" xfId="0" applyFont="1" applyBorder="1" applyAlignment="1">
      <alignment horizontal="left" vertical="top" wrapText="1"/>
    </xf>
    <xf numFmtId="2" fontId="5" fillId="25" borderId="60" xfId="0" applyNumberFormat="1" applyFont="1" applyFill="1" applyBorder="1" applyAlignment="1">
      <alignment horizontal="left" vertical="center" wrapText="1"/>
    </xf>
    <xf numFmtId="2" fontId="5" fillId="25" borderId="47" xfId="0" applyNumberFormat="1" applyFont="1" applyFill="1" applyBorder="1" applyAlignment="1">
      <alignment horizontal="left" vertical="center" wrapText="1"/>
    </xf>
    <xf numFmtId="2" fontId="5" fillId="25" borderId="33" xfId="0" applyNumberFormat="1" applyFont="1" applyFill="1" applyBorder="1" applyAlignment="1">
      <alignment horizontal="left" vertical="center" wrapText="1"/>
    </xf>
    <xf numFmtId="2" fontId="5" fillId="25" borderId="1" xfId="0" applyNumberFormat="1" applyFont="1" applyFill="1" applyBorder="1" applyAlignment="1">
      <alignment horizontal="left" vertical="center" wrapText="1"/>
    </xf>
    <xf numFmtId="2" fontId="5" fillId="25" borderId="54" xfId="0" applyNumberFormat="1" applyFont="1" applyFill="1" applyBorder="1" applyAlignment="1">
      <alignment horizontal="left" vertical="center" wrapText="1"/>
    </xf>
    <xf numFmtId="2" fontId="5" fillId="25" borderId="39" xfId="0" applyNumberFormat="1" applyFont="1" applyFill="1" applyBorder="1" applyAlignment="1">
      <alignment horizontal="left" vertical="center" wrapText="1"/>
    </xf>
    <xf numFmtId="0" fontId="6" fillId="0" borderId="59" xfId="0" applyFont="1" applyBorder="1" applyAlignment="1">
      <alignment horizontal="center" vertical="top" wrapText="1"/>
    </xf>
    <xf numFmtId="0" fontId="6" fillId="0" borderId="0" xfId="0" applyFont="1" applyAlignment="1">
      <alignment horizontal="center" vertical="top" wrapText="1"/>
    </xf>
    <xf numFmtId="0" fontId="8" fillId="0" borderId="34" xfId="0" applyFont="1" applyBorder="1" applyAlignment="1">
      <alignment horizontal="right" vertical="center" wrapText="1"/>
    </xf>
    <xf numFmtId="0" fontId="8" fillId="0" borderId="53" xfId="0" applyFont="1" applyBorder="1" applyAlignment="1">
      <alignment horizontal="right" vertical="center" wrapText="1"/>
    </xf>
    <xf numFmtId="0" fontId="8" fillId="0" borderId="41" xfId="0" applyFont="1" applyBorder="1" applyAlignment="1">
      <alignment horizontal="right" vertical="center" wrapText="1"/>
    </xf>
    <xf numFmtId="0" fontId="38" fillId="11" borderId="16" xfId="0" applyFont="1" applyFill="1" applyBorder="1" applyAlignment="1">
      <alignment horizontal="left" vertical="center" wrapText="1"/>
    </xf>
  </cellXfs>
  <cellStyles count="2">
    <cellStyle name="Normal" xfId="0" builtinId="0"/>
    <cellStyle name="Normal 2" xfId="1" xr:uid="{00000000-0005-0000-0000-000001000000}"/>
  </cellStyles>
  <dxfs count="17">
    <dxf>
      <fill>
        <patternFill>
          <fgColor theme="0"/>
          <bgColor theme="0"/>
        </patternFill>
      </fill>
    </dxf>
    <dxf>
      <fill>
        <patternFill>
          <fgColor theme="0"/>
          <bgColor theme="0"/>
        </patternFill>
      </fill>
    </dxf>
    <dxf>
      <fill>
        <patternFill>
          <fgColor theme="0"/>
          <bgColor theme="0"/>
        </patternFill>
      </fill>
    </dxf>
    <dxf>
      <fill>
        <patternFill>
          <bgColor rgb="FFFF0000"/>
        </patternFill>
      </fill>
    </dxf>
    <dxf>
      <fill>
        <patternFill>
          <bgColor rgb="FF00B0F0"/>
        </patternFill>
      </fill>
    </dxf>
    <dxf>
      <fill>
        <patternFill>
          <bgColor rgb="FF92D050"/>
        </patternFill>
      </fill>
    </dxf>
    <dxf>
      <fill>
        <patternFill>
          <bgColor rgb="FF00B0F0"/>
        </patternFill>
      </fill>
    </dxf>
    <dxf>
      <fill>
        <patternFill>
          <bgColor rgb="FF00B0F0"/>
        </patternFill>
      </fill>
    </dxf>
    <dxf>
      <font>
        <condense val="0"/>
        <extend val="0"/>
        <color rgb="FF9C0006"/>
      </font>
      <fill>
        <patternFill>
          <bgColor rgb="FFFFC7CE"/>
        </patternFill>
      </fill>
    </dxf>
    <dxf>
      <fill>
        <patternFill>
          <bgColor rgb="FF00B0F0"/>
        </patternFill>
      </fill>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CCECFF"/>
      <color rgb="FF99FF99"/>
      <color rgb="FF00CCFF"/>
      <color rgb="FF00FF00"/>
      <color rgb="FFFFCCFF"/>
      <color rgb="FF808080"/>
      <color rgb="FF66FF99"/>
      <color rgb="FF0000CC"/>
      <color rgb="FFFFCC00"/>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4</xdr:col>
      <xdr:colOff>0</xdr:colOff>
      <xdr:row>307</xdr:row>
      <xdr:rowOff>0</xdr:rowOff>
    </xdr:from>
    <xdr:ext cx="3529844" cy="1683569"/>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3346906" y="18407062"/>
          <a:ext cx="2619375" cy="1774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744986"/>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5188565" y="13144500"/>
          <a:ext cx="341705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676302"/>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14521815" y="23256240"/>
          <a:ext cx="341705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6949440" y="801052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42629"/>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0511790" y="172021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676302"/>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10511790" y="265747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9864090" y="801052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17636490" y="172021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17636490" y="265747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1363" cy="1676302"/>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13106400" y="801052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445197" cy="1676302"/>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21846540" y="801052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12454890" y="172021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12454890" y="265747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76039"/>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10511790" y="24603075"/>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17636490" y="24603075"/>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12454890" y="24603075"/>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620421"/>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37623750" y="33366075"/>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842257"/>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37623750" y="26346150"/>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587258"/>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37623750" y="33366075"/>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932" cy="1587258"/>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59449335" y="33366075"/>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65522475" y="2634615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65522475" y="33366075"/>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593" cy="1587258"/>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61102875" y="33366075"/>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8203" cy="1587258"/>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76019025" y="33366075"/>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60554235" y="2634615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60554235" y="33366075"/>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64697610" y="4087177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60278010" y="4087177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222"/>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21878925" y="33366075"/>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748771"/>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21878925" y="26346150"/>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119"/>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21878925" y="33366075"/>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114" cy="1662119"/>
    <xdr:sp macro="" textlink="">
      <xdr:nvSpPr>
        <xdr:cNvPr id="34" name="TextBox 33">
          <a:extLst>
            <a:ext uri="{FF2B5EF4-FFF2-40B4-BE49-F238E27FC236}">
              <a16:creationId xmlns:a16="http://schemas.microsoft.com/office/drawing/2014/main" id="{00000000-0008-0000-0200-000022000000}"/>
            </a:ext>
          </a:extLst>
        </xdr:cNvPr>
        <xdr:cNvSpPr txBox="1"/>
      </xdr:nvSpPr>
      <xdr:spPr>
        <a:xfrm>
          <a:off x="21878925" y="33366075"/>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731221"/>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21878925" y="26346150"/>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662119"/>
    <xdr:sp macro="" textlink="">
      <xdr:nvSpPr>
        <xdr:cNvPr id="36" name="TextBox 35">
          <a:extLst>
            <a:ext uri="{FF2B5EF4-FFF2-40B4-BE49-F238E27FC236}">
              <a16:creationId xmlns:a16="http://schemas.microsoft.com/office/drawing/2014/main" id="{00000000-0008-0000-0200-000024000000}"/>
            </a:ext>
          </a:extLst>
        </xdr:cNvPr>
        <xdr:cNvSpPr txBox="1"/>
      </xdr:nvSpPr>
      <xdr:spPr>
        <a:xfrm>
          <a:off x="21878925" y="33366075"/>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37" name="TextBox 36">
          <a:extLst>
            <a:ext uri="{FF2B5EF4-FFF2-40B4-BE49-F238E27FC236}">
              <a16:creationId xmlns:a16="http://schemas.microsoft.com/office/drawing/2014/main" id="{00000000-0008-0000-0200-000025000000}"/>
            </a:ext>
          </a:extLst>
        </xdr:cNvPr>
        <xdr:cNvSpPr txBox="1"/>
      </xdr:nvSpPr>
      <xdr:spPr>
        <a:xfrm>
          <a:off x="21878925" y="33366075"/>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731221"/>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21878925" y="26346150"/>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21878925" y="33366075"/>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4833" cy="1662119"/>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21878925" y="33366075"/>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731221"/>
    <xdr:sp macro="" textlink="">
      <xdr:nvSpPr>
        <xdr:cNvPr id="41" name="TextBox 40">
          <a:extLst>
            <a:ext uri="{FF2B5EF4-FFF2-40B4-BE49-F238E27FC236}">
              <a16:creationId xmlns:a16="http://schemas.microsoft.com/office/drawing/2014/main" id="{00000000-0008-0000-0200-000029000000}"/>
            </a:ext>
          </a:extLst>
        </xdr:cNvPr>
        <xdr:cNvSpPr txBox="1"/>
      </xdr:nvSpPr>
      <xdr:spPr>
        <a:xfrm>
          <a:off x="21878925" y="26346150"/>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119"/>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21878925" y="33366075"/>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877" cy="1662343"/>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21878925" y="40871775"/>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343"/>
    <xdr:sp macro="" textlink="">
      <xdr:nvSpPr>
        <xdr:cNvPr id="44" name="TextBox 43">
          <a:extLst>
            <a:ext uri="{FF2B5EF4-FFF2-40B4-BE49-F238E27FC236}">
              <a16:creationId xmlns:a16="http://schemas.microsoft.com/office/drawing/2014/main" id="{00000000-0008-0000-0200-00002C000000}"/>
            </a:ext>
          </a:extLst>
        </xdr:cNvPr>
        <xdr:cNvSpPr txBox="1"/>
      </xdr:nvSpPr>
      <xdr:spPr>
        <a:xfrm>
          <a:off x="21878925" y="40871775"/>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343"/>
    <xdr:sp macro="" textlink="">
      <xdr:nvSpPr>
        <xdr:cNvPr id="45" name="TextBox 44">
          <a:extLst>
            <a:ext uri="{FF2B5EF4-FFF2-40B4-BE49-F238E27FC236}">
              <a16:creationId xmlns:a16="http://schemas.microsoft.com/office/drawing/2014/main" id="{00000000-0008-0000-0200-00002D000000}"/>
            </a:ext>
          </a:extLst>
        </xdr:cNvPr>
        <xdr:cNvSpPr txBox="1"/>
      </xdr:nvSpPr>
      <xdr:spPr>
        <a:xfrm>
          <a:off x="21878925" y="40871775"/>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934"/>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9725025" y="33366075"/>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742770"/>
    <xdr:sp macro="" textlink="">
      <xdr:nvSpPr>
        <xdr:cNvPr id="47" name="TextBox 46">
          <a:extLst>
            <a:ext uri="{FF2B5EF4-FFF2-40B4-BE49-F238E27FC236}">
              <a16:creationId xmlns:a16="http://schemas.microsoft.com/office/drawing/2014/main" id="{00000000-0008-0000-0200-00002F000000}"/>
            </a:ext>
          </a:extLst>
        </xdr:cNvPr>
        <xdr:cNvSpPr txBox="1"/>
      </xdr:nvSpPr>
      <xdr:spPr>
        <a:xfrm>
          <a:off x="9725025" y="26346150"/>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831"/>
    <xdr:sp macro="" textlink="">
      <xdr:nvSpPr>
        <xdr:cNvPr id="48" name="TextBox 47">
          <a:extLst>
            <a:ext uri="{FF2B5EF4-FFF2-40B4-BE49-F238E27FC236}">
              <a16:creationId xmlns:a16="http://schemas.microsoft.com/office/drawing/2014/main" id="{00000000-0008-0000-0200-000030000000}"/>
            </a:ext>
          </a:extLst>
        </xdr:cNvPr>
        <xdr:cNvSpPr txBox="1"/>
      </xdr:nvSpPr>
      <xdr:spPr>
        <a:xfrm>
          <a:off x="9725025" y="33366075"/>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5023"/>
    <xdr:sp macro="" textlink="">
      <xdr:nvSpPr>
        <xdr:cNvPr id="49" name="TextBox 48">
          <a:extLst>
            <a:ext uri="{FF2B5EF4-FFF2-40B4-BE49-F238E27FC236}">
              <a16:creationId xmlns:a16="http://schemas.microsoft.com/office/drawing/2014/main" id="{00000000-0008-0000-0200-000031000000}"/>
            </a:ext>
          </a:extLst>
        </xdr:cNvPr>
        <xdr:cNvSpPr txBox="1"/>
      </xdr:nvSpPr>
      <xdr:spPr>
        <a:xfrm>
          <a:off x="73256775" y="33366075"/>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717993"/>
    <xdr:sp macro="" textlink="">
      <xdr:nvSpPr>
        <xdr:cNvPr id="50" name="TextBox 49">
          <a:extLst>
            <a:ext uri="{FF2B5EF4-FFF2-40B4-BE49-F238E27FC236}">
              <a16:creationId xmlns:a16="http://schemas.microsoft.com/office/drawing/2014/main" id="{00000000-0008-0000-0200-000032000000}"/>
            </a:ext>
          </a:extLst>
        </xdr:cNvPr>
        <xdr:cNvSpPr txBox="1"/>
      </xdr:nvSpPr>
      <xdr:spPr>
        <a:xfrm>
          <a:off x="73256775" y="26346150"/>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4935"/>
    <xdr:sp macro="" textlink="">
      <xdr:nvSpPr>
        <xdr:cNvPr id="51" name="TextBox 50">
          <a:extLst>
            <a:ext uri="{FF2B5EF4-FFF2-40B4-BE49-F238E27FC236}">
              <a16:creationId xmlns:a16="http://schemas.microsoft.com/office/drawing/2014/main" id="{00000000-0008-0000-0200-000033000000}"/>
            </a:ext>
          </a:extLst>
        </xdr:cNvPr>
        <xdr:cNvSpPr txBox="1"/>
      </xdr:nvSpPr>
      <xdr:spPr>
        <a:xfrm>
          <a:off x="73256775" y="33366075"/>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4773" cy="1434935"/>
    <xdr:sp macro="" textlink="">
      <xdr:nvSpPr>
        <xdr:cNvPr id="52" name="TextBox 51">
          <a:extLst>
            <a:ext uri="{FF2B5EF4-FFF2-40B4-BE49-F238E27FC236}">
              <a16:creationId xmlns:a16="http://schemas.microsoft.com/office/drawing/2014/main" id="{00000000-0008-0000-0200-000034000000}"/>
            </a:ext>
          </a:extLst>
        </xdr:cNvPr>
        <xdr:cNvSpPr txBox="1"/>
      </xdr:nvSpPr>
      <xdr:spPr>
        <a:xfrm>
          <a:off x="40675560" y="33366075"/>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53" name="TextBox 52">
          <a:extLst>
            <a:ext uri="{FF2B5EF4-FFF2-40B4-BE49-F238E27FC236}">
              <a16:creationId xmlns:a16="http://schemas.microsoft.com/office/drawing/2014/main" id="{00000000-0008-0000-0200-000035000000}"/>
            </a:ext>
          </a:extLst>
        </xdr:cNvPr>
        <xdr:cNvSpPr txBox="1"/>
      </xdr:nvSpPr>
      <xdr:spPr>
        <a:xfrm>
          <a:off x="52263675" y="33366075"/>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54" name="TextBox 53">
          <a:extLst>
            <a:ext uri="{FF2B5EF4-FFF2-40B4-BE49-F238E27FC236}">
              <a16:creationId xmlns:a16="http://schemas.microsoft.com/office/drawing/2014/main" id="{00000000-0008-0000-0200-000036000000}"/>
            </a:ext>
          </a:extLst>
        </xdr:cNvPr>
        <xdr:cNvSpPr txBox="1"/>
      </xdr:nvSpPr>
      <xdr:spPr>
        <a:xfrm>
          <a:off x="52263675" y="2634615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52263675" y="33366075"/>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11658600" y="33366075"/>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11658600" y="2634615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11658600" y="33366075"/>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77403960" y="33366075"/>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56134635" y="33366075"/>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746347"/>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44256960" y="26346150"/>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661857"/>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44256960" y="33366075"/>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178" cy="1661857"/>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43704510" y="33366075"/>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9642" cy="1678802"/>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43980735" y="40871775"/>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419"/>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47844075" y="33366075"/>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759058"/>
    <xdr:sp macro="" textlink="">
      <xdr:nvSpPr>
        <xdr:cNvPr id="66" name="TextBox 65">
          <a:extLst>
            <a:ext uri="{FF2B5EF4-FFF2-40B4-BE49-F238E27FC236}">
              <a16:creationId xmlns:a16="http://schemas.microsoft.com/office/drawing/2014/main" id="{00000000-0008-0000-0200-000042000000}"/>
            </a:ext>
          </a:extLst>
        </xdr:cNvPr>
        <xdr:cNvSpPr txBox="1"/>
      </xdr:nvSpPr>
      <xdr:spPr>
        <a:xfrm>
          <a:off x="47844075" y="26346150"/>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316"/>
    <xdr:sp macro="" textlink="">
      <xdr:nvSpPr>
        <xdr:cNvPr id="67" name="TextBox 66">
          <a:extLst>
            <a:ext uri="{FF2B5EF4-FFF2-40B4-BE49-F238E27FC236}">
              <a16:creationId xmlns:a16="http://schemas.microsoft.com/office/drawing/2014/main" id="{00000000-0008-0000-0200-000043000000}"/>
            </a:ext>
          </a:extLst>
        </xdr:cNvPr>
        <xdr:cNvSpPr txBox="1"/>
      </xdr:nvSpPr>
      <xdr:spPr>
        <a:xfrm>
          <a:off x="47844075" y="33366075"/>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21" cy="1650316"/>
    <xdr:sp macro="" textlink="">
      <xdr:nvSpPr>
        <xdr:cNvPr id="68" name="TextBox 67">
          <a:extLst>
            <a:ext uri="{FF2B5EF4-FFF2-40B4-BE49-F238E27FC236}">
              <a16:creationId xmlns:a16="http://schemas.microsoft.com/office/drawing/2014/main" id="{00000000-0008-0000-0200-000044000000}"/>
            </a:ext>
          </a:extLst>
        </xdr:cNvPr>
        <xdr:cNvSpPr txBox="1"/>
      </xdr:nvSpPr>
      <xdr:spPr>
        <a:xfrm>
          <a:off x="47584360" y="33366075"/>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69" name="TextBox 68">
          <a:extLst>
            <a:ext uri="{FF2B5EF4-FFF2-40B4-BE49-F238E27FC236}">
              <a16:creationId xmlns:a16="http://schemas.microsoft.com/office/drawing/2014/main" id="{00000000-0008-0000-0200-000045000000}"/>
            </a:ext>
          </a:extLst>
        </xdr:cNvPr>
        <xdr:cNvSpPr txBox="1"/>
      </xdr:nvSpPr>
      <xdr:spPr>
        <a:xfrm>
          <a:off x="8909685" y="33366075"/>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70" name="TextBox 69">
          <a:extLst>
            <a:ext uri="{FF2B5EF4-FFF2-40B4-BE49-F238E27FC236}">
              <a16:creationId xmlns:a16="http://schemas.microsoft.com/office/drawing/2014/main" id="{00000000-0008-0000-0200-000046000000}"/>
            </a:ext>
          </a:extLst>
        </xdr:cNvPr>
        <xdr:cNvSpPr txBox="1"/>
      </xdr:nvSpPr>
      <xdr:spPr>
        <a:xfrm>
          <a:off x="19949160" y="4087177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71" name="TextBox 70">
          <a:extLst>
            <a:ext uri="{FF2B5EF4-FFF2-40B4-BE49-F238E27FC236}">
              <a16:creationId xmlns:a16="http://schemas.microsoft.com/office/drawing/2014/main" id="{00000000-0008-0000-0200-000047000000}"/>
            </a:ext>
          </a:extLst>
        </xdr:cNvPr>
        <xdr:cNvSpPr txBox="1"/>
      </xdr:nvSpPr>
      <xdr:spPr>
        <a:xfrm>
          <a:off x="5309235" y="4087177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2021"/>
    <xdr:sp macro="" textlink="">
      <xdr:nvSpPr>
        <xdr:cNvPr id="72" name="TextBox 71">
          <a:extLst>
            <a:ext uri="{FF2B5EF4-FFF2-40B4-BE49-F238E27FC236}">
              <a16:creationId xmlns:a16="http://schemas.microsoft.com/office/drawing/2014/main" id="{00000000-0008-0000-0200-000048000000}"/>
            </a:ext>
          </a:extLst>
        </xdr:cNvPr>
        <xdr:cNvSpPr txBox="1"/>
      </xdr:nvSpPr>
      <xdr:spPr>
        <a:xfrm>
          <a:off x="9172575" y="33366075"/>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748948"/>
    <xdr:sp macro="" textlink="">
      <xdr:nvSpPr>
        <xdr:cNvPr id="73" name="TextBox 72">
          <a:extLst>
            <a:ext uri="{FF2B5EF4-FFF2-40B4-BE49-F238E27FC236}">
              <a16:creationId xmlns:a16="http://schemas.microsoft.com/office/drawing/2014/main" id="{00000000-0008-0000-0200-000049000000}"/>
            </a:ext>
          </a:extLst>
        </xdr:cNvPr>
        <xdr:cNvSpPr txBox="1"/>
      </xdr:nvSpPr>
      <xdr:spPr>
        <a:xfrm>
          <a:off x="9172575" y="26346150"/>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1918"/>
    <xdr:sp macro="" textlink="">
      <xdr:nvSpPr>
        <xdr:cNvPr id="74" name="TextBox 73">
          <a:extLst>
            <a:ext uri="{FF2B5EF4-FFF2-40B4-BE49-F238E27FC236}">
              <a16:creationId xmlns:a16="http://schemas.microsoft.com/office/drawing/2014/main" id="{00000000-0008-0000-0200-00004A000000}"/>
            </a:ext>
          </a:extLst>
        </xdr:cNvPr>
        <xdr:cNvSpPr txBox="1"/>
      </xdr:nvSpPr>
      <xdr:spPr>
        <a:xfrm>
          <a:off x="9172575" y="33366075"/>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5265" cy="1661918"/>
    <xdr:sp macro="" textlink="">
      <xdr:nvSpPr>
        <xdr:cNvPr id="75" name="TextBox 74">
          <a:extLst>
            <a:ext uri="{FF2B5EF4-FFF2-40B4-BE49-F238E27FC236}">
              <a16:creationId xmlns:a16="http://schemas.microsoft.com/office/drawing/2014/main" id="{00000000-0008-0000-0200-00004B000000}"/>
            </a:ext>
          </a:extLst>
        </xdr:cNvPr>
        <xdr:cNvSpPr txBox="1"/>
      </xdr:nvSpPr>
      <xdr:spPr>
        <a:xfrm>
          <a:off x="8093710" y="33366075"/>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945" cy="1661918"/>
    <xdr:sp macro="" textlink="">
      <xdr:nvSpPr>
        <xdr:cNvPr id="76" name="TextBox 75">
          <a:extLst>
            <a:ext uri="{FF2B5EF4-FFF2-40B4-BE49-F238E27FC236}">
              <a16:creationId xmlns:a16="http://schemas.microsoft.com/office/drawing/2014/main" id="{00000000-0008-0000-0200-00004C000000}"/>
            </a:ext>
          </a:extLst>
        </xdr:cNvPr>
        <xdr:cNvSpPr txBox="1"/>
      </xdr:nvSpPr>
      <xdr:spPr>
        <a:xfrm>
          <a:off x="29639260" y="33366075"/>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2021"/>
    <xdr:sp macro="" textlink="">
      <xdr:nvSpPr>
        <xdr:cNvPr id="77" name="TextBox 76">
          <a:extLst>
            <a:ext uri="{FF2B5EF4-FFF2-40B4-BE49-F238E27FC236}">
              <a16:creationId xmlns:a16="http://schemas.microsoft.com/office/drawing/2014/main" id="{00000000-0008-0000-0200-00004D000000}"/>
            </a:ext>
          </a:extLst>
        </xdr:cNvPr>
        <xdr:cNvSpPr txBox="1"/>
      </xdr:nvSpPr>
      <xdr:spPr>
        <a:xfrm>
          <a:off x="12211050" y="33366075"/>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748948"/>
    <xdr:sp macro="" textlink="">
      <xdr:nvSpPr>
        <xdr:cNvPr id="78" name="TextBox 77">
          <a:extLst>
            <a:ext uri="{FF2B5EF4-FFF2-40B4-BE49-F238E27FC236}">
              <a16:creationId xmlns:a16="http://schemas.microsoft.com/office/drawing/2014/main" id="{00000000-0008-0000-0200-00004E000000}"/>
            </a:ext>
          </a:extLst>
        </xdr:cNvPr>
        <xdr:cNvSpPr txBox="1"/>
      </xdr:nvSpPr>
      <xdr:spPr>
        <a:xfrm>
          <a:off x="12211050" y="26346150"/>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1918"/>
    <xdr:sp macro="" textlink="">
      <xdr:nvSpPr>
        <xdr:cNvPr id="79" name="TextBox 78">
          <a:extLst>
            <a:ext uri="{FF2B5EF4-FFF2-40B4-BE49-F238E27FC236}">
              <a16:creationId xmlns:a16="http://schemas.microsoft.com/office/drawing/2014/main" id="{00000000-0008-0000-0200-00004F000000}"/>
            </a:ext>
          </a:extLst>
        </xdr:cNvPr>
        <xdr:cNvSpPr txBox="1"/>
      </xdr:nvSpPr>
      <xdr:spPr>
        <a:xfrm>
          <a:off x="12211050" y="33366075"/>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80" name="TextBox 79">
          <a:extLst>
            <a:ext uri="{FF2B5EF4-FFF2-40B4-BE49-F238E27FC236}">
              <a16:creationId xmlns:a16="http://schemas.microsoft.com/office/drawing/2014/main" id="{00000000-0008-0000-0200-000050000000}"/>
            </a:ext>
          </a:extLst>
        </xdr:cNvPr>
        <xdr:cNvSpPr txBox="1"/>
      </xdr:nvSpPr>
      <xdr:spPr>
        <a:xfrm>
          <a:off x="12211050" y="33366075"/>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746584"/>
    <xdr:sp macro="" textlink="">
      <xdr:nvSpPr>
        <xdr:cNvPr id="81" name="TextBox 80">
          <a:extLst>
            <a:ext uri="{FF2B5EF4-FFF2-40B4-BE49-F238E27FC236}">
              <a16:creationId xmlns:a16="http://schemas.microsoft.com/office/drawing/2014/main" id="{00000000-0008-0000-0200-000051000000}"/>
            </a:ext>
          </a:extLst>
        </xdr:cNvPr>
        <xdr:cNvSpPr txBox="1"/>
      </xdr:nvSpPr>
      <xdr:spPr>
        <a:xfrm>
          <a:off x="12211050" y="26346150"/>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661918"/>
    <xdr:sp macro="" textlink="">
      <xdr:nvSpPr>
        <xdr:cNvPr id="82" name="TextBox 81">
          <a:extLst>
            <a:ext uri="{FF2B5EF4-FFF2-40B4-BE49-F238E27FC236}">
              <a16:creationId xmlns:a16="http://schemas.microsoft.com/office/drawing/2014/main" id="{00000000-0008-0000-0200-000052000000}"/>
            </a:ext>
          </a:extLst>
        </xdr:cNvPr>
        <xdr:cNvSpPr txBox="1"/>
      </xdr:nvSpPr>
      <xdr:spPr>
        <a:xfrm>
          <a:off x="12211050" y="33366075"/>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00147" cy="1661918"/>
    <xdr:sp macro="" textlink="">
      <xdr:nvSpPr>
        <xdr:cNvPr id="83" name="TextBox 82">
          <a:extLst>
            <a:ext uri="{FF2B5EF4-FFF2-40B4-BE49-F238E27FC236}">
              <a16:creationId xmlns:a16="http://schemas.microsoft.com/office/drawing/2014/main" id="{00000000-0008-0000-0200-000053000000}"/>
            </a:ext>
          </a:extLst>
        </xdr:cNvPr>
        <xdr:cNvSpPr txBox="1"/>
      </xdr:nvSpPr>
      <xdr:spPr>
        <a:xfrm>
          <a:off x="12211050" y="33366075"/>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592" cy="1661918"/>
    <xdr:sp macro="" textlink="">
      <xdr:nvSpPr>
        <xdr:cNvPr id="84" name="TextBox 83">
          <a:extLst>
            <a:ext uri="{FF2B5EF4-FFF2-40B4-BE49-F238E27FC236}">
              <a16:creationId xmlns:a16="http://schemas.microsoft.com/office/drawing/2014/main" id="{00000000-0008-0000-0200-000054000000}"/>
            </a:ext>
          </a:extLst>
        </xdr:cNvPr>
        <xdr:cNvSpPr txBox="1"/>
      </xdr:nvSpPr>
      <xdr:spPr>
        <a:xfrm>
          <a:off x="12211050" y="33366075"/>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746584"/>
    <xdr:sp macro="" textlink="">
      <xdr:nvSpPr>
        <xdr:cNvPr id="85" name="TextBox 84">
          <a:extLst>
            <a:ext uri="{FF2B5EF4-FFF2-40B4-BE49-F238E27FC236}">
              <a16:creationId xmlns:a16="http://schemas.microsoft.com/office/drawing/2014/main" id="{00000000-0008-0000-0200-000055000000}"/>
            </a:ext>
          </a:extLst>
        </xdr:cNvPr>
        <xdr:cNvSpPr txBox="1"/>
      </xdr:nvSpPr>
      <xdr:spPr>
        <a:xfrm>
          <a:off x="12211050" y="26346150"/>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661918"/>
    <xdr:sp macro="" textlink="">
      <xdr:nvSpPr>
        <xdr:cNvPr id="86" name="TextBox 85">
          <a:extLst>
            <a:ext uri="{FF2B5EF4-FFF2-40B4-BE49-F238E27FC236}">
              <a16:creationId xmlns:a16="http://schemas.microsoft.com/office/drawing/2014/main" id="{00000000-0008-0000-0200-000056000000}"/>
            </a:ext>
          </a:extLst>
        </xdr:cNvPr>
        <xdr:cNvSpPr txBox="1"/>
      </xdr:nvSpPr>
      <xdr:spPr>
        <a:xfrm>
          <a:off x="12211050" y="33366075"/>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87" name="TextBox 86">
          <a:extLst>
            <a:ext uri="{FF2B5EF4-FFF2-40B4-BE49-F238E27FC236}">
              <a16:creationId xmlns:a16="http://schemas.microsoft.com/office/drawing/2014/main" id="{00000000-0008-0000-0200-000057000000}"/>
            </a:ext>
          </a:extLst>
        </xdr:cNvPr>
        <xdr:cNvSpPr txBox="1"/>
      </xdr:nvSpPr>
      <xdr:spPr>
        <a:xfrm>
          <a:off x="12211050" y="4087177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88" name="TextBox 87">
          <a:extLst>
            <a:ext uri="{FF2B5EF4-FFF2-40B4-BE49-F238E27FC236}">
              <a16:creationId xmlns:a16="http://schemas.microsoft.com/office/drawing/2014/main" id="{00000000-0008-0000-0200-000058000000}"/>
            </a:ext>
          </a:extLst>
        </xdr:cNvPr>
        <xdr:cNvSpPr txBox="1"/>
      </xdr:nvSpPr>
      <xdr:spPr>
        <a:xfrm>
          <a:off x="12211050" y="4087177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683569"/>
    <xdr:sp macro="" textlink="">
      <xdr:nvSpPr>
        <xdr:cNvPr id="89" name="TextBox 88">
          <a:extLst>
            <a:ext uri="{FF2B5EF4-FFF2-40B4-BE49-F238E27FC236}">
              <a16:creationId xmlns:a16="http://schemas.microsoft.com/office/drawing/2014/main" id="{00000000-0008-0000-0200-000059000000}"/>
            </a:ext>
          </a:extLst>
        </xdr:cNvPr>
        <xdr:cNvSpPr txBox="1"/>
      </xdr:nvSpPr>
      <xdr:spPr>
        <a:xfrm>
          <a:off x="6724650" y="20354925"/>
          <a:ext cx="3529844" cy="168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744986"/>
    <xdr:sp macro="" textlink="">
      <xdr:nvSpPr>
        <xdr:cNvPr id="90" name="TextBox 89">
          <a:extLst>
            <a:ext uri="{FF2B5EF4-FFF2-40B4-BE49-F238E27FC236}">
              <a16:creationId xmlns:a16="http://schemas.microsoft.com/office/drawing/2014/main" id="{00000000-0008-0000-0200-00005A000000}"/>
            </a:ext>
          </a:extLst>
        </xdr:cNvPr>
        <xdr:cNvSpPr txBox="1"/>
      </xdr:nvSpPr>
      <xdr:spPr>
        <a:xfrm>
          <a:off x="6724650" y="16411575"/>
          <a:ext cx="3529844" cy="1744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676302"/>
    <xdr:sp macro="" textlink="">
      <xdr:nvSpPr>
        <xdr:cNvPr id="91" name="TextBox 90">
          <a:extLst>
            <a:ext uri="{FF2B5EF4-FFF2-40B4-BE49-F238E27FC236}">
              <a16:creationId xmlns:a16="http://schemas.microsoft.com/office/drawing/2014/main" id="{00000000-0008-0000-0200-00005B000000}"/>
            </a:ext>
          </a:extLst>
        </xdr:cNvPr>
        <xdr:cNvSpPr txBox="1"/>
      </xdr:nvSpPr>
      <xdr:spPr>
        <a:xfrm>
          <a:off x="6724650" y="20354925"/>
          <a:ext cx="3529844"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92" name="TextBox 91">
          <a:extLst>
            <a:ext uri="{FF2B5EF4-FFF2-40B4-BE49-F238E27FC236}">
              <a16:creationId xmlns:a16="http://schemas.microsoft.com/office/drawing/2014/main" id="{00000000-0008-0000-0200-00005C000000}"/>
            </a:ext>
          </a:extLst>
        </xdr:cNvPr>
        <xdr:cNvSpPr txBox="1"/>
      </xdr:nvSpPr>
      <xdr:spPr>
        <a:xfrm>
          <a:off x="6724650" y="20354925"/>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42629"/>
    <xdr:sp macro="" textlink="">
      <xdr:nvSpPr>
        <xdr:cNvPr id="93" name="TextBox 92">
          <a:extLst>
            <a:ext uri="{FF2B5EF4-FFF2-40B4-BE49-F238E27FC236}">
              <a16:creationId xmlns:a16="http://schemas.microsoft.com/office/drawing/2014/main" id="{00000000-0008-0000-0200-00005D000000}"/>
            </a:ext>
          </a:extLst>
        </xdr:cNvPr>
        <xdr:cNvSpPr txBox="1"/>
      </xdr:nvSpPr>
      <xdr:spPr>
        <a:xfrm>
          <a:off x="6724650" y="16411575"/>
          <a:ext cx="3542843"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676302"/>
    <xdr:sp macro="" textlink="">
      <xdr:nvSpPr>
        <xdr:cNvPr id="94" name="TextBox 93">
          <a:extLst>
            <a:ext uri="{FF2B5EF4-FFF2-40B4-BE49-F238E27FC236}">
              <a16:creationId xmlns:a16="http://schemas.microsoft.com/office/drawing/2014/main" id="{00000000-0008-0000-0200-00005E000000}"/>
            </a:ext>
          </a:extLst>
        </xdr:cNvPr>
        <xdr:cNvSpPr txBox="1"/>
      </xdr:nvSpPr>
      <xdr:spPr>
        <a:xfrm>
          <a:off x="6724650" y="20354925"/>
          <a:ext cx="354284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95" name="TextBox 94">
          <a:extLst>
            <a:ext uri="{FF2B5EF4-FFF2-40B4-BE49-F238E27FC236}">
              <a16:creationId xmlns:a16="http://schemas.microsoft.com/office/drawing/2014/main" id="{00000000-0008-0000-0200-00005F000000}"/>
            </a:ext>
          </a:extLst>
        </xdr:cNvPr>
        <xdr:cNvSpPr txBox="1"/>
      </xdr:nvSpPr>
      <xdr:spPr>
        <a:xfrm>
          <a:off x="6724650" y="20354925"/>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96" name="TextBox 95">
          <a:extLst>
            <a:ext uri="{FF2B5EF4-FFF2-40B4-BE49-F238E27FC236}">
              <a16:creationId xmlns:a16="http://schemas.microsoft.com/office/drawing/2014/main" id="{00000000-0008-0000-0200-000060000000}"/>
            </a:ext>
          </a:extLst>
        </xdr:cNvPr>
        <xdr:cNvSpPr txBox="1"/>
      </xdr:nvSpPr>
      <xdr:spPr>
        <a:xfrm>
          <a:off x="6724650" y="164115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97" name="TextBox 96">
          <a:extLst>
            <a:ext uri="{FF2B5EF4-FFF2-40B4-BE49-F238E27FC236}">
              <a16:creationId xmlns:a16="http://schemas.microsoft.com/office/drawing/2014/main" id="{00000000-0008-0000-0200-000061000000}"/>
            </a:ext>
          </a:extLst>
        </xdr:cNvPr>
        <xdr:cNvSpPr txBox="1"/>
      </xdr:nvSpPr>
      <xdr:spPr>
        <a:xfrm>
          <a:off x="6724650" y="20354925"/>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1363" cy="1676302"/>
    <xdr:sp macro="" textlink="">
      <xdr:nvSpPr>
        <xdr:cNvPr id="98" name="TextBox 97">
          <a:extLst>
            <a:ext uri="{FF2B5EF4-FFF2-40B4-BE49-F238E27FC236}">
              <a16:creationId xmlns:a16="http://schemas.microsoft.com/office/drawing/2014/main" id="{00000000-0008-0000-0200-000062000000}"/>
            </a:ext>
          </a:extLst>
        </xdr:cNvPr>
        <xdr:cNvSpPr txBox="1"/>
      </xdr:nvSpPr>
      <xdr:spPr>
        <a:xfrm>
          <a:off x="6724650" y="20354925"/>
          <a:ext cx="353136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445197" cy="1676302"/>
    <xdr:sp macro="" textlink="">
      <xdr:nvSpPr>
        <xdr:cNvPr id="99" name="TextBox 98">
          <a:extLst>
            <a:ext uri="{FF2B5EF4-FFF2-40B4-BE49-F238E27FC236}">
              <a16:creationId xmlns:a16="http://schemas.microsoft.com/office/drawing/2014/main" id="{00000000-0008-0000-0200-000063000000}"/>
            </a:ext>
          </a:extLst>
        </xdr:cNvPr>
        <xdr:cNvSpPr txBox="1"/>
      </xdr:nvSpPr>
      <xdr:spPr>
        <a:xfrm>
          <a:off x="6724650" y="20354925"/>
          <a:ext cx="3445197"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100" name="TextBox 99">
          <a:extLst>
            <a:ext uri="{FF2B5EF4-FFF2-40B4-BE49-F238E27FC236}">
              <a16:creationId xmlns:a16="http://schemas.microsoft.com/office/drawing/2014/main" id="{00000000-0008-0000-0200-000064000000}"/>
            </a:ext>
          </a:extLst>
        </xdr:cNvPr>
        <xdr:cNvSpPr txBox="1"/>
      </xdr:nvSpPr>
      <xdr:spPr>
        <a:xfrm>
          <a:off x="6724650" y="164115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101" name="TextBox 100">
          <a:extLst>
            <a:ext uri="{FF2B5EF4-FFF2-40B4-BE49-F238E27FC236}">
              <a16:creationId xmlns:a16="http://schemas.microsoft.com/office/drawing/2014/main" id="{00000000-0008-0000-0200-000065000000}"/>
            </a:ext>
          </a:extLst>
        </xdr:cNvPr>
        <xdr:cNvSpPr txBox="1"/>
      </xdr:nvSpPr>
      <xdr:spPr>
        <a:xfrm>
          <a:off x="6724650" y="20354925"/>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76039"/>
    <xdr:sp macro="" textlink="">
      <xdr:nvSpPr>
        <xdr:cNvPr id="102" name="TextBox 101">
          <a:extLst>
            <a:ext uri="{FF2B5EF4-FFF2-40B4-BE49-F238E27FC236}">
              <a16:creationId xmlns:a16="http://schemas.microsoft.com/office/drawing/2014/main" id="{00000000-0008-0000-0200-000066000000}"/>
            </a:ext>
          </a:extLst>
        </xdr:cNvPr>
        <xdr:cNvSpPr txBox="1"/>
      </xdr:nvSpPr>
      <xdr:spPr>
        <a:xfrm>
          <a:off x="6724650" y="24136350"/>
          <a:ext cx="3542843"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103" name="TextBox 102">
          <a:extLst>
            <a:ext uri="{FF2B5EF4-FFF2-40B4-BE49-F238E27FC236}">
              <a16:creationId xmlns:a16="http://schemas.microsoft.com/office/drawing/2014/main" id="{00000000-0008-0000-0200-000067000000}"/>
            </a:ext>
          </a:extLst>
        </xdr:cNvPr>
        <xdr:cNvSpPr txBox="1"/>
      </xdr:nvSpPr>
      <xdr:spPr>
        <a:xfrm>
          <a:off x="6724650" y="2413635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104" name="TextBox 103">
          <a:extLst>
            <a:ext uri="{FF2B5EF4-FFF2-40B4-BE49-F238E27FC236}">
              <a16:creationId xmlns:a16="http://schemas.microsoft.com/office/drawing/2014/main" id="{00000000-0008-0000-0200-000068000000}"/>
            </a:ext>
          </a:extLst>
        </xdr:cNvPr>
        <xdr:cNvSpPr txBox="1"/>
      </xdr:nvSpPr>
      <xdr:spPr>
        <a:xfrm>
          <a:off x="6724650" y="2413635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620421"/>
    <xdr:sp macro="" textlink="">
      <xdr:nvSpPr>
        <xdr:cNvPr id="105" name="TextBox 104">
          <a:extLst>
            <a:ext uri="{FF2B5EF4-FFF2-40B4-BE49-F238E27FC236}">
              <a16:creationId xmlns:a16="http://schemas.microsoft.com/office/drawing/2014/main" id="{00000000-0008-0000-0200-000069000000}"/>
            </a:ext>
          </a:extLst>
        </xdr:cNvPr>
        <xdr:cNvSpPr txBox="1"/>
      </xdr:nvSpPr>
      <xdr:spPr>
        <a:xfrm>
          <a:off x="40147875" y="20354925"/>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842257"/>
    <xdr:sp macro="" textlink="">
      <xdr:nvSpPr>
        <xdr:cNvPr id="106" name="TextBox 105">
          <a:extLst>
            <a:ext uri="{FF2B5EF4-FFF2-40B4-BE49-F238E27FC236}">
              <a16:creationId xmlns:a16="http://schemas.microsoft.com/office/drawing/2014/main" id="{00000000-0008-0000-0200-00006A000000}"/>
            </a:ext>
          </a:extLst>
        </xdr:cNvPr>
        <xdr:cNvSpPr txBox="1"/>
      </xdr:nvSpPr>
      <xdr:spPr>
        <a:xfrm>
          <a:off x="40147875" y="16411575"/>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587258"/>
    <xdr:sp macro="" textlink="">
      <xdr:nvSpPr>
        <xdr:cNvPr id="107" name="TextBox 106">
          <a:extLst>
            <a:ext uri="{FF2B5EF4-FFF2-40B4-BE49-F238E27FC236}">
              <a16:creationId xmlns:a16="http://schemas.microsoft.com/office/drawing/2014/main" id="{00000000-0008-0000-0200-00006B000000}"/>
            </a:ext>
          </a:extLst>
        </xdr:cNvPr>
        <xdr:cNvSpPr txBox="1"/>
      </xdr:nvSpPr>
      <xdr:spPr>
        <a:xfrm>
          <a:off x="40147875" y="20354925"/>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932" cy="1587258"/>
    <xdr:sp macro="" textlink="">
      <xdr:nvSpPr>
        <xdr:cNvPr id="108" name="TextBox 107">
          <a:extLst>
            <a:ext uri="{FF2B5EF4-FFF2-40B4-BE49-F238E27FC236}">
              <a16:creationId xmlns:a16="http://schemas.microsoft.com/office/drawing/2014/main" id="{00000000-0008-0000-0200-00006C000000}"/>
            </a:ext>
          </a:extLst>
        </xdr:cNvPr>
        <xdr:cNvSpPr txBox="1"/>
      </xdr:nvSpPr>
      <xdr:spPr>
        <a:xfrm>
          <a:off x="63354585" y="20354925"/>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109" name="TextBox 108">
          <a:extLst>
            <a:ext uri="{FF2B5EF4-FFF2-40B4-BE49-F238E27FC236}">
              <a16:creationId xmlns:a16="http://schemas.microsoft.com/office/drawing/2014/main" id="{00000000-0008-0000-0200-00006D000000}"/>
            </a:ext>
          </a:extLst>
        </xdr:cNvPr>
        <xdr:cNvSpPr txBox="1"/>
      </xdr:nvSpPr>
      <xdr:spPr>
        <a:xfrm>
          <a:off x="69427725" y="164115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110" name="TextBox 109">
          <a:extLst>
            <a:ext uri="{FF2B5EF4-FFF2-40B4-BE49-F238E27FC236}">
              <a16:creationId xmlns:a16="http://schemas.microsoft.com/office/drawing/2014/main" id="{00000000-0008-0000-0200-00006E000000}"/>
            </a:ext>
          </a:extLst>
        </xdr:cNvPr>
        <xdr:cNvSpPr txBox="1"/>
      </xdr:nvSpPr>
      <xdr:spPr>
        <a:xfrm>
          <a:off x="69427725" y="20354925"/>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593" cy="1587258"/>
    <xdr:sp macro="" textlink="">
      <xdr:nvSpPr>
        <xdr:cNvPr id="111" name="TextBox 110">
          <a:extLst>
            <a:ext uri="{FF2B5EF4-FFF2-40B4-BE49-F238E27FC236}">
              <a16:creationId xmlns:a16="http://schemas.microsoft.com/office/drawing/2014/main" id="{00000000-0008-0000-0200-00006F000000}"/>
            </a:ext>
          </a:extLst>
        </xdr:cNvPr>
        <xdr:cNvSpPr txBox="1"/>
      </xdr:nvSpPr>
      <xdr:spPr>
        <a:xfrm>
          <a:off x="65008125" y="20354925"/>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8203" cy="1587258"/>
    <xdr:sp macro="" textlink="">
      <xdr:nvSpPr>
        <xdr:cNvPr id="112" name="TextBox 111">
          <a:extLst>
            <a:ext uri="{FF2B5EF4-FFF2-40B4-BE49-F238E27FC236}">
              <a16:creationId xmlns:a16="http://schemas.microsoft.com/office/drawing/2014/main" id="{00000000-0008-0000-0200-000070000000}"/>
            </a:ext>
          </a:extLst>
        </xdr:cNvPr>
        <xdr:cNvSpPr txBox="1"/>
      </xdr:nvSpPr>
      <xdr:spPr>
        <a:xfrm>
          <a:off x="80200500" y="20354925"/>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113" name="TextBox 112">
          <a:extLst>
            <a:ext uri="{FF2B5EF4-FFF2-40B4-BE49-F238E27FC236}">
              <a16:creationId xmlns:a16="http://schemas.microsoft.com/office/drawing/2014/main" id="{00000000-0008-0000-0200-000071000000}"/>
            </a:ext>
          </a:extLst>
        </xdr:cNvPr>
        <xdr:cNvSpPr txBox="1"/>
      </xdr:nvSpPr>
      <xdr:spPr>
        <a:xfrm>
          <a:off x="64459485" y="164115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114" name="TextBox 113">
          <a:extLst>
            <a:ext uri="{FF2B5EF4-FFF2-40B4-BE49-F238E27FC236}">
              <a16:creationId xmlns:a16="http://schemas.microsoft.com/office/drawing/2014/main" id="{00000000-0008-0000-0200-000072000000}"/>
            </a:ext>
          </a:extLst>
        </xdr:cNvPr>
        <xdr:cNvSpPr txBox="1"/>
      </xdr:nvSpPr>
      <xdr:spPr>
        <a:xfrm>
          <a:off x="64459485" y="20354925"/>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115" name="TextBox 114">
          <a:extLst>
            <a:ext uri="{FF2B5EF4-FFF2-40B4-BE49-F238E27FC236}">
              <a16:creationId xmlns:a16="http://schemas.microsoft.com/office/drawing/2014/main" id="{00000000-0008-0000-0200-000073000000}"/>
            </a:ext>
          </a:extLst>
        </xdr:cNvPr>
        <xdr:cNvSpPr txBox="1"/>
      </xdr:nvSpPr>
      <xdr:spPr>
        <a:xfrm>
          <a:off x="68602860" y="2413635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116" name="TextBox 115">
          <a:extLst>
            <a:ext uri="{FF2B5EF4-FFF2-40B4-BE49-F238E27FC236}">
              <a16:creationId xmlns:a16="http://schemas.microsoft.com/office/drawing/2014/main" id="{00000000-0008-0000-0200-000074000000}"/>
            </a:ext>
          </a:extLst>
        </xdr:cNvPr>
        <xdr:cNvSpPr txBox="1"/>
      </xdr:nvSpPr>
      <xdr:spPr>
        <a:xfrm>
          <a:off x="64183260" y="2413635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222"/>
    <xdr:sp macro="" textlink="">
      <xdr:nvSpPr>
        <xdr:cNvPr id="117" name="TextBox 116">
          <a:extLst>
            <a:ext uri="{FF2B5EF4-FFF2-40B4-BE49-F238E27FC236}">
              <a16:creationId xmlns:a16="http://schemas.microsoft.com/office/drawing/2014/main" id="{00000000-0008-0000-0200-000075000000}"/>
            </a:ext>
          </a:extLst>
        </xdr:cNvPr>
        <xdr:cNvSpPr txBox="1"/>
      </xdr:nvSpPr>
      <xdr:spPr>
        <a:xfrm>
          <a:off x="24126825" y="20354925"/>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748771"/>
    <xdr:sp macro="" textlink="">
      <xdr:nvSpPr>
        <xdr:cNvPr id="118" name="TextBox 117">
          <a:extLst>
            <a:ext uri="{FF2B5EF4-FFF2-40B4-BE49-F238E27FC236}">
              <a16:creationId xmlns:a16="http://schemas.microsoft.com/office/drawing/2014/main" id="{00000000-0008-0000-0200-000076000000}"/>
            </a:ext>
          </a:extLst>
        </xdr:cNvPr>
        <xdr:cNvSpPr txBox="1"/>
      </xdr:nvSpPr>
      <xdr:spPr>
        <a:xfrm>
          <a:off x="24126825" y="16411575"/>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119"/>
    <xdr:sp macro="" textlink="">
      <xdr:nvSpPr>
        <xdr:cNvPr id="119" name="TextBox 118">
          <a:extLst>
            <a:ext uri="{FF2B5EF4-FFF2-40B4-BE49-F238E27FC236}">
              <a16:creationId xmlns:a16="http://schemas.microsoft.com/office/drawing/2014/main" id="{00000000-0008-0000-0200-000077000000}"/>
            </a:ext>
          </a:extLst>
        </xdr:cNvPr>
        <xdr:cNvSpPr txBox="1"/>
      </xdr:nvSpPr>
      <xdr:spPr>
        <a:xfrm>
          <a:off x="24126825" y="20354925"/>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114" cy="1662119"/>
    <xdr:sp macro="" textlink="">
      <xdr:nvSpPr>
        <xdr:cNvPr id="120" name="TextBox 119">
          <a:extLst>
            <a:ext uri="{FF2B5EF4-FFF2-40B4-BE49-F238E27FC236}">
              <a16:creationId xmlns:a16="http://schemas.microsoft.com/office/drawing/2014/main" id="{00000000-0008-0000-0200-000078000000}"/>
            </a:ext>
          </a:extLst>
        </xdr:cNvPr>
        <xdr:cNvSpPr txBox="1"/>
      </xdr:nvSpPr>
      <xdr:spPr>
        <a:xfrm>
          <a:off x="24126825" y="20354925"/>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731221"/>
    <xdr:sp macro="" textlink="">
      <xdr:nvSpPr>
        <xdr:cNvPr id="121" name="TextBox 120">
          <a:extLst>
            <a:ext uri="{FF2B5EF4-FFF2-40B4-BE49-F238E27FC236}">
              <a16:creationId xmlns:a16="http://schemas.microsoft.com/office/drawing/2014/main" id="{00000000-0008-0000-0200-000079000000}"/>
            </a:ext>
          </a:extLst>
        </xdr:cNvPr>
        <xdr:cNvSpPr txBox="1"/>
      </xdr:nvSpPr>
      <xdr:spPr>
        <a:xfrm>
          <a:off x="24126825" y="16411575"/>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662119"/>
    <xdr:sp macro="" textlink="">
      <xdr:nvSpPr>
        <xdr:cNvPr id="122" name="TextBox 121">
          <a:extLst>
            <a:ext uri="{FF2B5EF4-FFF2-40B4-BE49-F238E27FC236}">
              <a16:creationId xmlns:a16="http://schemas.microsoft.com/office/drawing/2014/main" id="{00000000-0008-0000-0200-00007A000000}"/>
            </a:ext>
          </a:extLst>
        </xdr:cNvPr>
        <xdr:cNvSpPr txBox="1"/>
      </xdr:nvSpPr>
      <xdr:spPr>
        <a:xfrm>
          <a:off x="24126825" y="20354925"/>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123" name="TextBox 122">
          <a:extLst>
            <a:ext uri="{FF2B5EF4-FFF2-40B4-BE49-F238E27FC236}">
              <a16:creationId xmlns:a16="http://schemas.microsoft.com/office/drawing/2014/main" id="{00000000-0008-0000-0200-00007B000000}"/>
            </a:ext>
          </a:extLst>
        </xdr:cNvPr>
        <xdr:cNvSpPr txBox="1"/>
      </xdr:nvSpPr>
      <xdr:spPr>
        <a:xfrm>
          <a:off x="24126825" y="20354925"/>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731221"/>
    <xdr:sp macro="" textlink="">
      <xdr:nvSpPr>
        <xdr:cNvPr id="124" name="TextBox 123">
          <a:extLst>
            <a:ext uri="{FF2B5EF4-FFF2-40B4-BE49-F238E27FC236}">
              <a16:creationId xmlns:a16="http://schemas.microsoft.com/office/drawing/2014/main" id="{00000000-0008-0000-0200-00007C000000}"/>
            </a:ext>
          </a:extLst>
        </xdr:cNvPr>
        <xdr:cNvSpPr txBox="1"/>
      </xdr:nvSpPr>
      <xdr:spPr>
        <a:xfrm>
          <a:off x="24126825" y="16411575"/>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125" name="TextBox 124">
          <a:extLst>
            <a:ext uri="{FF2B5EF4-FFF2-40B4-BE49-F238E27FC236}">
              <a16:creationId xmlns:a16="http://schemas.microsoft.com/office/drawing/2014/main" id="{00000000-0008-0000-0200-00007D000000}"/>
            </a:ext>
          </a:extLst>
        </xdr:cNvPr>
        <xdr:cNvSpPr txBox="1"/>
      </xdr:nvSpPr>
      <xdr:spPr>
        <a:xfrm>
          <a:off x="24126825" y="20354925"/>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4833" cy="1662119"/>
    <xdr:sp macro="" textlink="">
      <xdr:nvSpPr>
        <xdr:cNvPr id="126" name="TextBox 125">
          <a:extLst>
            <a:ext uri="{FF2B5EF4-FFF2-40B4-BE49-F238E27FC236}">
              <a16:creationId xmlns:a16="http://schemas.microsoft.com/office/drawing/2014/main" id="{00000000-0008-0000-0200-00007E000000}"/>
            </a:ext>
          </a:extLst>
        </xdr:cNvPr>
        <xdr:cNvSpPr txBox="1"/>
      </xdr:nvSpPr>
      <xdr:spPr>
        <a:xfrm>
          <a:off x="24126825" y="20354925"/>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731221"/>
    <xdr:sp macro="" textlink="">
      <xdr:nvSpPr>
        <xdr:cNvPr id="127" name="TextBox 126">
          <a:extLst>
            <a:ext uri="{FF2B5EF4-FFF2-40B4-BE49-F238E27FC236}">
              <a16:creationId xmlns:a16="http://schemas.microsoft.com/office/drawing/2014/main" id="{00000000-0008-0000-0200-00007F000000}"/>
            </a:ext>
          </a:extLst>
        </xdr:cNvPr>
        <xdr:cNvSpPr txBox="1"/>
      </xdr:nvSpPr>
      <xdr:spPr>
        <a:xfrm>
          <a:off x="24126825" y="16411575"/>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119"/>
    <xdr:sp macro="" textlink="">
      <xdr:nvSpPr>
        <xdr:cNvPr id="128" name="TextBox 127">
          <a:extLst>
            <a:ext uri="{FF2B5EF4-FFF2-40B4-BE49-F238E27FC236}">
              <a16:creationId xmlns:a16="http://schemas.microsoft.com/office/drawing/2014/main" id="{00000000-0008-0000-0200-000080000000}"/>
            </a:ext>
          </a:extLst>
        </xdr:cNvPr>
        <xdr:cNvSpPr txBox="1"/>
      </xdr:nvSpPr>
      <xdr:spPr>
        <a:xfrm>
          <a:off x="24126825" y="20354925"/>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877" cy="1662343"/>
    <xdr:sp macro="" textlink="">
      <xdr:nvSpPr>
        <xdr:cNvPr id="129" name="TextBox 128">
          <a:extLst>
            <a:ext uri="{FF2B5EF4-FFF2-40B4-BE49-F238E27FC236}">
              <a16:creationId xmlns:a16="http://schemas.microsoft.com/office/drawing/2014/main" id="{00000000-0008-0000-0200-000081000000}"/>
            </a:ext>
          </a:extLst>
        </xdr:cNvPr>
        <xdr:cNvSpPr txBox="1"/>
      </xdr:nvSpPr>
      <xdr:spPr>
        <a:xfrm>
          <a:off x="24126825" y="24136350"/>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343"/>
    <xdr:sp macro="" textlink="">
      <xdr:nvSpPr>
        <xdr:cNvPr id="130" name="TextBox 129">
          <a:extLst>
            <a:ext uri="{FF2B5EF4-FFF2-40B4-BE49-F238E27FC236}">
              <a16:creationId xmlns:a16="http://schemas.microsoft.com/office/drawing/2014/main" id="{00000000-0008-0000-0200-000082000000}"/>
            </a:ext>
          </a:extLst>
        </xdr:cNvPr>
        <xdr:cNvSpPr txBox="1"/>
      </xdr:nvSpPr>
      <xdr:spPr>
        <a:xfrm>
          <a:off x="24126825" y="24136350"/>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343"/>
    <xdr:sp macro="" textlink="">
      <xdr:nvSpPr>
        <xdr:cNvPr id="131" name="TextBox 130">
          <a:extLst>
            <a:ext uri="{FF2B5EF4-FFF2-40B4-BE49-F238E27FC236}">
              <a16:creationId xmlns:a16="http://schemas.microsoft.com/office/drawing/2014/main" id="{00000000-0008-0000-0200-000083000000}"/>
            </a:ext>
          </a:extLst>
        </xdr:cNvPr>
        <xdr:cNvSpPr txBox="1"/>
      </xdr:nvSpPr>
      <xdr:spPr>
        <a:xfrm>
          <a:off x="24126825" y="24136350"/>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934"/>
    <xdr:sp macro="" textlink="">
      <xdr:nvSpPr>
        <xdr:cNvPr id="132" name="TextBox 131">
          <a:extLst>
            <a:ext uri="{FF2B5EF4-FFF2-40B4-BE49-F238E27FC236}">
              <a16:creationId xmlns:a16="http://schemas.microsoft.com/office/drawing/2014/main" id="{00000000-0008-0000-0200-000084000000}"/>
            </a:ext>
          </a:extLst>
        </xdr:cNvPr>
        <xdr:cNvSpPr txBox="1"/>
      </xdr:nvSpPr>
      <xdr:spPr>
        <a:xfrm>
          <a:off x="11972925" y="20354925"/>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742770"/>
    <xdr:sp macro="" textlink="">
      <xdr:nvSpPr>
        <xdr:cNvPr id="133" name="TextBox 132">
          <a:extLst>
            <a:ext uri="{FF2B5EF4-FFF2-40B4-BE49-F238E27FC236}">
              <a16:creationId xmlns:a16="http://schemas.microsoft.com/office/drawing/2014/main" id="{00000000-0008-0000-0200-000085000000}"/>
            </a:ext>
          </a:extLst>
        </xdr:cNvPr>
        <xdr:cNvSpPr txBox="1"/>
      </xdr:nvSpPr>
      <xdr:spPr>
        <a:xfrm>
          <a:off x="11972925" y="16411575"/>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831"/>
    <xdr:sp macro="" textlink="">
      <xdr:nvSpPr>
        <xdr:cNvPr id="134" name="TextBox 133">
          <a:extLst>
            <a:ext uri="{FF2B5EF4-FFF2-40B4-BE49-F238E27FC236}">
              <a16:creationId xmlns:a16="http://schemas.microsoft.com/office/drawing/2014/main" id="{00000000-0008-0000-0200-000086000000}"/>
            </a:ext>
          </a:extLst>
        </xdr:cNvPr>
        <xdr:cNvSpPr txBox="1"/>
      </xdr:nvSpPr>
      <xdr:spPr>
        <a:xfrm>
          <a:off x="11972925" y="20354925"/>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5023"/>
    <xdr:sp macro="" textlink="">
      <xdr:nvSpPr>
        <xdr:cNvPr id="135" name="TextBox 134">
          <a:extLst>
            <a:ext uri="{FF2B5EF4-FFF2-40B4-BE49-F238E27FC236}">
              <a16:creationId xmlns:a16="http://schemas.microsoft.com/office/drawing/2014/main" id="{00000000-0008-0000-0200-000087000000}"/>
            </a:ext>
          </a:extLst>
        </xdr:cNvPr>
        <xdr:cNvSpPr txBox="1"/>
      </xdr:nvSpPr>
      <xdr:spPr>
        <a:xfrm>
          <a:off x="77438250" y="20354925"/>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717993"/>
    <xdr:sp macro="" textlink="">
      <xdr:nvSpPr>
        <xdr:cNvPr id="136" name="TextBox 135">
          <a:extLst>
            <a:ext uri="{FF2B5EF4-FFF2-40B4-BE49-F238E27FC236}">
              <a16:creationId xmlns:a16="http://schemas.microsoft.com/office/drawing/2014/main" id="{00000000-0008-0000-0200-000088000000}"/>
            </a:ext>
          </a:extLst>
        </xdr:cNvPr>
        <xdr:cNvSpPr txBox="1"/>
      </xdr:nvSpPr>
      <xdr:spPr>
        <a:xfrm>
          <a:off x="77438250" y="16411575"/>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4935"/>
    <xdr:sp macro="" textlink="">
      <xdr:nvSpPr>
        <xdr:cNvPr id="137" name="TextBox 136">
          <a:extLst>
            <a:ext uri="{FF2B5EF4-FFF2-40B4-BE49-F238E27FC236}">
              <a16:creationId xmlns:a16="http://schemas.microsoft.com/office/drawing/2014/main" id="{00000000-0008-0000-0200-000089000000}"/>
            </a:ext>
          </a:extLst>
        </xdr:cNvPr>
        <xdr:cNvSpPr txBox="1"/>
      </xdr:nvSpPr>
      <xdr:spPr>
        <a:xfrm>
          <a:off x="77438250" y="20354925"/>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4773" cy="1434935"/>
    <xdr:sp macro="" textlink="">
      <xdr:nvSpPr>
        <xdr:cNvPr id="138" name="TextBox 137">
          <a:extLst>
            <a:ext uri="{FF2B5EF4-FFF2-40B4-BE49-F238E27FC236}">
              <a16:creationId xmlns:a16="http://schemas.microsoft.com/office/drawing/2014/main" id="{00000000-0008-0000-0200-00008A000000}"/>
            </a:ext>
          </a:extLst>
        </xdr:cNvPr>
        <xdr:cNvSpPr txBox="1"/>
      </xdr:nvSpPr>
      <xdr:spPr>
        <a:xfrm>
          <a:off x="43199685" y="20354925"/>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139" name="TextBox 138">
          <a:extLst>
            <a:ext uri="{FF2B5EF4-FFF2-40B4-BE49-F238E27FC236}">
              <a16:creationId xmlns:a16="http://schemas.microsoft.com/office/drawing/2014/main" id="{00000000-0008-0000-0200-00008B000000}"/>
            </a:ext>
          </a:extLst>
        </xdr:cNvPr>
        <xdr:cNvSpPr txBox="1"/>
      </xdr:nvSpPr>
      <xdr:spPr>
        <a:xfrm>
          <a:off x="54787800" y="20354925"/>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140" name="TextBox 139">
          <a:extLst>
            <a:ext uri="{FF2B5EF4-FFF2-40B4-BE49-F238E27FC236}">
              <a16:creationId xmlns:a16="http://schemas.microsoft.com/office/drawing/2014/main" id="{00000000-0008-0000-0200-00008C000000}"/>
            </a:ext>
          </a:extLst>
        </xdr:cNvPr>
        <xdr:cNvSpPr txBox="1"/>
      </xdr:nvSpPr>
      <xdr:spPr>
        <a:xfrm>
          <a:off x="54787800" y="164115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141" name="TextBox 140">
          <a:extLst>
            <a:ext uri="{FF2B5EF4-FFF2-40B4-BE49-F238E27FC236}">
              <a16:creationId xmlns:a16="http://schemas.microsoft.com/office/drawing/2014/main" id="{00000000-0008-0000-0200-00008D000000}"/>
            </a:ext>
          </a:extLst>
        </xdr:cNvPr>
        <xdr:cNvSpPr txBox="1"/>
      </xdr:nvSpPr>
      <xdr:spPr>
        <a:xfrm>
          <a:off x="54787800" y="20354925"/>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142" name="TextBox 141">
          <a:extLst>
            <a:ext uri="{FF2B5EF4-FFF2-40B4-BE49-F238E27FC236}">
              <a16:creationId xmlns:a16="http://schemas.microsoft.com/office/drawing/2014/main" id="{00000000-0008-0000-0200-00008E000000}"/>
            </a:ext>
          </a:extLst>
        </xdr:cNvPr>
        <xdr:cNvSpPr txBox="1"/>
      </xdr:nvSpPr>
      <xdr:spPr>
        <a:xfrm>
          <a:off x="13906500" y="20354925"/>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143" name="TextBox 142">
          <a:extLst>
            <a:ext uri="{FF2B5EF4-FFF2-40B4-BE49-F238E27FC236}">
              <a16:creationId xmlns:a16="http://schemas.microsoft.com/office/drawing/2014/main" id="{00000000-0008-0000-0200-00008F000000}"/>
            </a:ext>
          </a:extLst>
        </xdr:cNvPr>
        <xdr:cNvSpPr txBox="1"/>
      </xdr:nvSpPr>
      <xdr:spPr>
        <a:xfrm>
          <a:off x="13906500" y="164115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144" name="TextBox 143">
          <a:extLst>
            <a:ext uri="{FF2B5EF4-FFF2-40B4-BE49-F238E27FC236}">
              <a16:creationId xmlns:a16="http://schemas.microsoft.com/office/drawing/2014/main" id="{00000000-0008-0000-0200-000090000000}"/>
            </a:ext>
          </a:extLst>
        </xdr:cNvPr>
        <xdr:cNvSpPr txBox="1"/>
      </xdr:nvSpPr>
      <xdr:spPr>
        <a:xfrm>
          <a:off x="13906500" y="20354925"/>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145" name="TextBox 144">
          <a:extLst>
            <a:ext uri="{FF2B5EF4-FFF2-40B4-BE49-F238E27FC236}">
              <a16:creationId xmlns:a16="http://schemas.microsoft.com/office/drawing/2014/main" id="{00000000-0008-0000-0200-000091000000}"/>
            </a:ext>
          </a:extLst>
        </xdr:cNvPr>
        <xdr:cNvSpPr txBox="1"/>
      </xdr:nvSpPr>
      <xdr:spPr>
        <a:xfrm>
          <a:off x="81585435" y="20354925"/>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146" name="TextBox 145">
          <a:extLst>
            <a:ext uri="{FF2B5EF4-FFF2-40B4-BE49-F238E27FC236}">
              <a16:creationId xmlns:a16="http://schemas.microsoft.com/office/drawing/2014/main" id="{00000000-0008-0000-0200-000092000000}"/>
            </a:ext>
          </a:extLst>
        </xdr:cNvPr>
        <xdr:cNvSpPr txBox="1"/>
      </xdr:nvSpPr>
      <xdr:spPr>
        <a:xfrm>
          <a:off x="58658760" y="20354925"/>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746347"/>
    <xdr:sp macro="" textlink="">
      <xdr:nvSpPr>
        <xdr:cNvPr id="147" name="TextBox 146">
          <a:extLst>
            <a:ext uri="{FF2B5EF4-FFF2-40B4-BE49-F238E27FC236}">
              <a16:creationId xmlns:a16="http://schemas.microsoft.com/office/drawing/2014/main" id="{00000000-0008-0000-0200-000093000000}"/>
            </a:ext>
          </a:extLst>
        </xdr:cNvPr>
        <xdr:cNvSpPr txBox="1"/>
      </xdr:nvSpPr>
      <xdr:spPr>
        <a:xfrm>
          <a:off x="46781085" y="16411575"/>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661857"/>
    <xdr:sp macro="" textlink="">
      <xdr:nvSpPr>
        <xdr:cNvPr id="148" name="TextBox 147">
          <a:extLst>
            <a:ext uri="{FF2B5EF4-FFF2-40B4-BE49-F238E27FC236}">
              <a16:creationId xmlns:a16="http://schemas.microsoft.com/office/drawing/2014/main" id="{00000000-0008-0000-0200-000094000000}"/>
            </a:ext>
          </a:extLst>
        </xdr:cNvPr>
        <xdr:cNvSpPr txBox="1"/>
      </xdr:nvSpPr>
      <xdr:spPr>
        <a:xfrm>
          <a:off x="46781085" y="20354925"/>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178" cy="1661857"/>
    <xdr:sp macro="" textlink="">
      <xdr:nvSpPr>
        <xdr:cNvPr id="149" name="TextBox 148">
          <a:extLst>
            <a:ext uri="{FF2B5EF4-FFF2-40B4-BE49-F238E27FC236}">
              <a16:creationId xmlns:a16="http://schemas.microsoft.com/office/drawing/2014/main" id="{00000000-0008-0000-0200-000095000000}"/>
            </a:ext>
          </a:extLst>
        </xdr:cNvPr>
        <xdr:cNvSpPr txBox="1"/>
      </xdr:nvSpPr>
      <xdr:spPr>
        <a:xfrm>
          <a:off x="46228635" y="20354925"/>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9642" cy="1678802"/>
    <xdr:sp macro="" textlink="">
      <xdr:nvSpPr>
        <xdr:cNvPr id="150" name="TextBox 149">
          <a:extLst>
            <a:ext uri="{FF2B5EF4-FFF2-40B4-BE49-F238E27FC236}">
              <a16:creationId xmlns:a16="http://schemas.microsoft.com/office/drawing/2014/main" id="{00000000-0008-0000-0200-000096000000}"/>
            </a:ext>
          </a:extLst>
        </xdr:cNvPr>
        <xdr:cNvSpPr txBox="1"/>
      </xdr:nvSpPr>
      <xdr:spPr>
        <a:xfrm>
          <a:off x="46504860" y="24136350"/>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419"/>
    <xdr:sp macro="" textlink="">
      <xdr:nvSpPr>
        <xdr:cNvPr id="151" name="TextBox 150">
          <a:extLst>
            <a:ext uri="{FF2B5EF4-FFF2-40B4-BE49-F238E27FC236}">
              <a16:creationId xmlns:a16="http://schemas.microsoft.com/office/drawing/2014/main" id="{00000000-0008-0000-0200-000097000000}"/>
            </a:ext>
          </a:extLst>
        </xdr:cNvPr>
        <xdr:cNvSpPr txBox="1"/>
      </xdr:nvSpPr>
      <xdr:spPr>
        <a:xfrm>
          <a:off x="50368200" y="20354925"/>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759058"/>
    <xdr:sp macro="" textlink="">
      <xdr:nvSpPr>
        <xdr:cNvPr id="152" name="TextBox 151">
          <a:extLst>
            <a:ext uri="{FF2B5EF4-FFF2-40B4-BE49-F238E27FC236}">
              <a16:creationId xmlns:a16="http://schemas.microsoft.com/office/drawing/2014/main" id="{00000000-0008-0000-0200-000098000000}"/>
            </a:ext>
          </a:extLst>
        </xdr:cNvPr>
        <xdr:cNvSpPr txBox="1"/>
      </xdr:nvSpPr>
      <xdr:spPr>
        <a:xfrm>
          <a:off x="50368200" y="16411575"/>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316"/>
    <xdr:sp macro="" textlink="">
      <xdr:nvSpPr>
        <xdr:cNvPr id="153" name="TextBox 152">
          <a:extLst>
            <a:ext uri="{FF2B5EF4-FFF2-40B4-BE49-F238E27FC236}">
              <a16:creationId xmlns:a16="http://schemas.microsoft.com/office/drawing/2014/main" id="{00000000-0008-0000-0200-000099000000}"/>
            </a:ext>
          </a:extLst>
        </xdr:cNvPr>
        <xdr:cNvSpPr txBox="1"/>
      </xdr:nvSpPr>
      <xdr:spPr>
        <a:xfrm>
          <a:off x="50368200" y="20354925"/>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21" cy="1650316"/>
    <xdr:sp macro="" textlink="">
      <xdr:nvSpPr>
        <xdr:cNvPr id="154" name="TextBox 153">
          <a:extLst>
            <a:ext uri="{FF2B5EF4-FFF2-40B4-BE49-F238E27FC236}">
              <a16:creationId xmlns:a16="http://schemas.microsoft.com/office/drawing/2014/main" id="{00000000-0008-0000-0200-00009A000000}"/>
            </a:ext>
          </a:extLst>
        </xdr:cNvPr>
        <xdr:cNvSpPr txBox="1"/>
      </xdr:nvSpPr>
      <xdr:spPr>
        <a:xfrm>
          <a:off x="50108485" y="20354925"/>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155" name="TextBox 154">
          <a:extLst>
            <a:ext uri="{FF2B5EF4-FFF2-40B4-BE49-F238E27FC236}">
              <a16:creationId xmlns:a16="http://schemas.microsoft.com/office/drawing/2014/main" id="{00000000-0008-0000-0200-00009B000000}"/>
            </a:ext>
          </a:extLst>
        </xdr:cNvPr>
        <xdr:cNvSpPr txBox="1"/>
      </xdr:nvSpPr>
      <xdr:spPr>
        <a:xfrm>
          <a:off x="11157585" y="20354925"/>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156" name="TextBox 155">
          <a:extLst>
            <a:ext uri="{FF2B5EF4-FFF2-40B4-BE49-F238E27FC236}">
              <a16:creationId xmlns:a16="http://schemas.microsoft.com/office/drawing/2014/main" id="{00000000-0008-0000-0200-00009C000000}"/>
            </a:ext>
          </a:extLst>
        </xdr:cNvPr>
        <xdr:cNvSpPr txBox="1"/>
      </xdr:nvSpPr>
      <xdr:spPr>
        <a:xfrm>
          <a:off x="22197060" y="2413635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157" name="TextBox 156">
          <a:extLst>
            <a:ext uri="{FF2B5EF4-FFF2-40B4-BE49-F238E27FC236}">
              <a16:creationId xmlns:a16="http://schemas.microsoft.com/office/drawing/2014/main" id="{00000000-0008-0000-0200-00009D000000}"/>
            </a:ext>
          </a:extLst>
        </xdr:cNvPr>
        <xdr:cNvSpPr txBox="1"/>
      </xdr:nvSpPr>
      <xdr:spPr>
        <a:xfrm>
          <a:off x="7557135" y="2413635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2021"/>
    <xdr:sp macro="" textlink="">
      <xdr:nvSpPr>
        <xdr:cNvPr id="158" name="TextBox 157">
          <a:extLst>
            <a:ext uri="{FF2B5EF4-FFF2-40B4-BE49-F238E27FC236}">
              <a16:creationId xmlns:a16="http://schemas.microsoft.com/office/drawing/2014/main" id="{00000000-0008-0000-0200-00009E000000}"/>
            </a:ext>
          </a:extLst>
        </xdr:cNvPr>
        <xdr:cNvSpPr txBox="1"/>
      </xdr:nvSpPr>
      <xdr:spPr>
        <a:xfrm>
          <a:off x="11420475" y="20354925"/>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748948"/>
    <xdr:sp macro="" textlink="">
      <xdr:nvSpPr>
        <xdr:cNvPr id="159" name="TextBox 158">
          <a:extLst>
            <a:ext uri="{FF2B5EF4-FFF2-40B4-BE49-F238E27FC236}">
              <a16:creationId xmlns:a16="http://schemas.microsoft.com/office/drawing/2014/main" id="{00000000-0008-0000-0200-00009F000000}"/>
            </a:ext>
          </a:extLst>
        </xdr:cNvPr>
        <xdr:cNvSpPr txBox="1"/>
      </xdr:nvSpPr>
      <xdr:spPr>
        <a:xfrm>
          <a:off x="11420475" y="16411575"/>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1918"/>
    <xdr:sp macro="" textlink="">
      <xdr:nvSpPr>
        <xdr:cNvPr id="160" name="TextBox 159">
          <a:extLst>
            <a:ext uri="{FF2B5EF4-FFF2-40B4-BE49-F238E27FC236}">
              <a16:creationId xmlns:a16="http://schemas.microsoft.com/office/drawing/2014/main" id="{00000000-0008-0000-0200-0000A0000000}"/>
            </a:ext>
          </a:extLst>
        </xdr:cNvPr>
        <xdr:cNvSpPr txBox="1"/>
      </xdr:nvSpPr>
      <xdr:spPr>
        <a:xfrm>
          <a:off x="11420475" y="20354925"/>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5265" cy="1661918"/>
    <xdr:sp macro="" textlink="">
      <xdr:nvSpPr>
        <xdr:cNvPr id="161" name="TextBox 160">
          <a:extLst>
            <a:ext uri="{FF2B5EF4-FFF2-40B4-BE49-F238E27FC236}">
              <a16:creationId xmlns:a16="http://schemas.microsoft.com/office/drawing/2014/main" id="{00000000-0008-0000-0200-0000A1000000}"/>
            </a:ext>
          </a:extLst>
        </xdr:cNvPr>
        <xdr:cNvSpPr txBox="1"/>
      </xdr:nvSpPr>
      <xdr:spPr>
        <a:xfrm>
          <a:off x="10341610" y="20354925"/>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945" cy="1661918"/>
    <xdr:sp macro="" textlink="">
      <xdr:nvSpPr>
        <xdr:cNvPr id="162" name="TextBox 161">
          <a:extLst>
            <a:ext uri="{FF2B5EF4-FFF2-40B4-BE49-F238E27FC236}">
              <a16:creationId xmlns:a16="http://schemas.microsoft.com/office/drawing/2014/main" id="{00000000-0008-0000-0200-0000A2000000}"/>
            </a:ext>
          </a:extLst>
        </xdr:cNvPr>
        <xdr:cNvSpPr txBox="1"/>
      </xdr:nvSpPr>
      <xdr:spPr>
        <a:xfrm>
          <a:off x="32163385" y="20354925"/>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2021"/>
    <xdr:sp macro="" textlink="">
      <xdr:nvSpPr>
        <xdr:cNvPr id="163" name="TextBox 162">
          <a:extLst>
            <a:ext uri="{FF2B5EF4-FFF2-40B4-BE49-F238E27FC236}">
              <a16:creationId xmlns:a16="http://schemas.microsoft.com/office/drawing/2014/main" id="{00000000-0008-0000-0200-0000A3000000}"/>
            </a:ext>
          </a:extLst>
        </xdr:cNvPr>
        <xdr:cNvSpPr txBox="1"/>
      </xdr:nvSpPr>
      <xdr:spPr>
        <a:xfrm>
          <a:off x="14458950" y="20354925"/>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748948"/>
    <xdr:sp macro="" textlink="">
      <xdr:nvSpPr>
        <xdr:cNvPr id="164" name="TextBox 163">
          <a:extLst>
            <a:ext uri="{FF2B5EF4-FFF2-40B4-BE49-F238E27FC236}">
              <a16:creationId xmlns:a16="http://schemas.microsoft.com/office/drawing/2014/main" id="{00000000-0008-0000-0200-0000A4000000}"/>
            </a:ext>
          </a:extLst>
        </xdr:cNvPr>
        <xdr:cNvSpPr txBox="1"/>
      </xdr:nvSpPr>
      <xdr:spPr>
        <a:xfrm>
          <a:off x="14458950" y="16411575"/>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1918"/>
    <xdr:sp macro="" textlink="">
      <xdr:nvSpPr>
        <xdr:cNvPr id="165" name="TextBox 164">
          <a:extLst>
            <a:ext uri="{FF2B5EF4-FFF2-40B4-BE49-F238E27FC236}">
              <a16:creationId xmlns:a16="http://schemas.microsoft.com/office/drawing/2014/main" id="{00000000-0008-0000-0200-0000A5000000}"/>
            </a:ext>
          </a:extLst>
        </xdr:cNvPr>
        <xdr:cNvSpPr txBox="1"/>
      </xdr:nvSpPr>
      <xdr:spPr>
        <a:xfrm>
          <a:off x="14458950" y="20354925"/>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166" name="TextBox 165">
          <a:extLst>
            <a:ext uri="{FF2B5EF4-FFF2-40B4-BE49-F238E27FC236}">
              <a16:creationId xmlns:a16="http://schemas.microsoft.com/office/drawing/2014/main" id="{00000000-0008-0000-0200-0000A6000000}"/>
            </a:ext>
          </a:extLst>
        </xdr:cNvPr>
        <xdr:cNvSpPr txBox="1"/>
      </xdr:nvSpPr>
      <xdr:spPr>
        <a:xfrm>
          <a:off x="14458950" y="20354925"/>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746584"/>
    <xdr:sp macro="" textlink="">
      <xdr:nvSpPr>
        <xdr:cNvPr id="167" name="TextBox 166">
          <a:extLst>
            <a:ext uri="{FF2B5EF4-FFF2-40B4-BE49-F238E27FC236}">
              <a16:creationId xmlns:a16="http://schemas.microsoft.com/office/drawing/2014/main" id="{00000000-0008-0000-0200-0000A7000000}"/>
            </a:ext>
          </a:extLst>
        </xdr:cNvPr>
        <xdr:cNvSpPr txBox="1"/>
      </xdr:nvSpPr>
      <xdr:spPr>
        <a:xfrm>
          <a:off x="14458950" y="16411575"/>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661918"/>
    <xdr:sp macro="" textlink="">
      <xdr:nvSpPr>
        <xdr:cNvPr id="168" name="TextBox 167">
          <a:extLst>
            <a:ext uri="{FF2B5EF4-FFF2-40B4-BE49-F238E27FC236}">
              <a16:creationId xmlns:a16="http://schemas.microsoft.com/office/drawing/2014/main" id="{00000000-0008-0000-0200-0000A8000000}"/>
            </a:ext>
          </a:extLst>
        </xdr:cNvPr>
        <xdr:cNvSpPr txBox="1"/>
      </xdr:nvSpPr>
      <xdr:spPr>
        <a:xfrm>
          <a:off x="14458950" y="20354925"/>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00147" cy="1661918"/>
    <xdr:sp macro="" textlink="">
      <xdr:nvSpPr>
        <xdr:cNvPr id="169" name="TextBox 168">
          <a:extLst>
            <a:ext uri="{FF2B5EF4-FFF2-40B4-BE49-F238E27FC236}">
              <a16:creationId xmlns:a16="http://schemas.microsoft.com/office/drawing/2014/main" id="{00000000-0008-0000-0200-0000A9000000}"/>
            </a:ext>
          </a:extLst>
        </xdr:cNvPr>
        <xdr:cNvSpPr txBox="1"/>
      </xdr:nvSpPr>
      <xdr:spPr>
        <a:xfrm>
          <a:off x="14458950" y="20354925"/>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592" cy="1661918"/>
    <xdr:sp macro="" textlink="">
      <xdr:nvSpPr>
        <xdr:cNvPr id="170" name="TextBox 169">
          <a:extLst>
            <a:ext uri="{FF2B5EF4-FFF2-40B4-BE49-F238E27FC236}">
              <a16:creationId xmlns:a16="http://schemas.microsoft.com/office/drawing/2014/main" id="{00000000-0008-0000-0200-0000AA000000}"/>
            </a:ext>
          </a:extLst>
        </xdr:cNvPr>
        <xdr:cNvSpPr txBox="1"/>
      </xdr:nvSpPr>
      <xdr:spPr>
        <a:xfrm>
          <a:off x="14458950" y="20354925"/>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746584"/>
    <xdr:sp macro="" textlink="">
      <xdr:nvSpPr>
        <xdr:cNvPr id="171" name="TextBox 170">
          <a:extLst>
            <a:ext uri="{FF2B5EF4-FFF2-40B4-BE49-F238E27FC236}">
              <a16:creationId xmlns:a16="http://schemas.microsoft.com/office/drawing/2014/main" id="{00000000-0008-0000-0200-0000AB000000}"/>
            </a:ext>
          </a:extLst>
        </xdr:cNvPr>
        <xdr:cNvSpPr txBox="1"/>
      </xdr:nvSpPr>
      <xdr:spPr>
        <a:xfrm>
          <a:off x="14458950" y="16411575"/>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661918"/>
    <xdr:sp macro="" textlink="">
      <xdr:nvSpPr>
        <xdr:cNvPr id="172" name="TextBox 171">
          <a:extLst>
            <a:ext uri="{FF2B5EF4-FFF2-40B4-BE49-F238E27FC236}">
              <a16:creationId xmlns:a16="http://schemas.microsoft.com/office/drawing/2014/main" id="{00000000-0008-0000-0200-0000AC000000}"/>
            </a:ext>
          </a:extLst>
        </xdr:cNvPr>
        <xdr:cNvSpPr txBox="1"/>
      </xdr:nvSpPr>
      <xdr:spPr>
        <a:xfrm>
          <a:off x="14458950" y="20354925"/>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173" name="TextBox 172">
          <a:extLst>
            <a:ext uri="{FF2B5EF4-FFF2-40B4-BE49-F238E27FC236}">
              <a16:creationId xmlns:a16="http://schemas.microsoft.com/office/drawing/2014/main" id="{00000000-0008-0000-0200-0000AD000000}"/>
            </a:ext>
          </a:extLst>
        </xdr:cNvPr>
        <xdr:cNvSpPr txBox="1"/>
      </xdr:nvSpPr>
      <xdr:spPr>
        <a:xfrm>
          <a:off x="14458950" y="2413635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174" name="TextBox 173">
          <a:extLst>
            <a:ext uri="{FF2B5EF4-FFF2-40B4-BE49-F238E27FC236}">
              <a16:creationId xmlns:a16="http://schemas.microsoft.com/office/drawing/2014/main" id="{00000000-0008-0000-0200-0000AE000000}"/>
            </a:ext>
          </a:extLst>
        </xdr:cNvPr>
        <xdr:cNvSpPr txBox="1"/>
      </xdr:nvSpPr>
      <xdr:spPr>
        <a:xfrm>
          <a:off x="14458950" y="2413635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0766" cy="1679418"/>
    <xdr:sp macro="" textlink="">
      <xdr:nvSpPr>
        <xdr:cNvPr id="189" name="TextBox 188">
          <a:extLst>
            <a:ext uri="{FF2B5EF4-FFF2-40B4-BE49-F238E27FC236}">
              <a16:creationId xmlns:a16="http://schemas.microsoft.com/office/drawing/2014/main" id="{00000000-0008-0000-0200-0000BD000000}"/>
            </a:ext>
          </a:extLst>
        </xdr:cNvPr>
        <xdr:cNvSpPr txBox="1"/>
      </xdr:nvSpPr>
      <xdr:spPr>
        <a:xfrm>
          <a:off x="5086350" y="25765125"/>
          <a:ext cx="3560766"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0766" cy="1747852"/>
    <xdr:sp macro="" textlink="">
      <xdr:nvSpPr>
        <xdr:cNvPr id="190" name="TextBox 189">
          <a:extLst>
            <a:ext uri="{FF2B5EF4-FFF2-40B4-BE49-F238E27FC236}">
              <a16:creationId xmlns:a16="http://schemas.microsoft.com/office/drawing/2014/main" id="{00000000-0008-0000-0200-0000BE000000}"/>
            </a:ext>
          </a:extLst>
        </xdr:cNvPr>
        <xdr:cNvSpPr txBox="1"/>
      </xdr:nvSpPr>
      <xdr:spPr>
        <a:xfrm>
          <a:off x="5086350" y="20364450"/>
          <a:ext cx="3560766"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0766" cy="1682488"/>
    <xdr:sp macro="" textlink="">
      <xdr:nvSpPr>
        <xdr:cNvPr id="191" name="TextBox 190">
          <a:extLst>
            <a:ext uri="{FF2B5EF4-FFF2-40B4-BE49-F238E27FC236}">
              <a16:creationId xmlns:a16="http://schemas.microsoft.com/office/drawing/2014/main" id="{00000000-0008-0000-0200-0000BF000000}"/>
            </a:ext>
          </a:extLst>
        </xdr:cNvPr>
        <xdr:cNvSpPr txBox="1"/>
      </xdr:nvSpPr>
      <xdr:spPr>
        <a:xfrm>
          <a:off x="5086350" y="25765125"/>
          <a:ext cx="356076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927" cy="1755464"/>
    <xdr:sp macro="" textlink="">
      <xdr:nvSpPr>
        <xdr:cNvPr id="192" name="TextBox 191">
          <a:extLst>
            <a:ext uri="{FF2B5EF4-FFF2-40B4-BE49-F238E27FC236}">
              <a16:creationId xmlns:a16="http://schemas.microsoft.com/office/drawing/2014/main" id="{00000000-0008-0000-0200-0000C0000000}"/>
            </a:ext>
          </a:extLst>
        </xdr:cNvPr>
        <xdr:cNvSpPr txBox="1"/>
      </xdr:nvSpPr>
      <xdr:spPr>
        <a:xfrm>
          <a:off x="9538335" y="20364450"/>
          <a:ext cx="3555927"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927" cy="1682488"/>
    <xdr:sp macro="" textlink="">
      <xdr:nvSpPr>
        <xdr:cNvPr id="193" name="TextBox 192">
          <a:extLst>
            <a:ext uri="{FF2B5EF4-FFF2-40B4-BE49-F238E27FC236}">
              <a16:creationId xmlns:a16="http://schemas.microsoft.com/office/drawing/2014/main" id="{00000000-0008-0000-0200-0000C1000000}"/>
            </a:ext>
          </a:extLst>
        </xdr:cNvPr>
        <xdr:cNvSpPr txBox="1"/>
      </xdr:nvSpPr>
      <xdr:spPr>
        <a:xfrm>
          <a:off x="9538335" y="25765125"/>
          <a:ext cx="3555927"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682488"/>
    <xdr:sp macro="" textlink="">
      <xdr:nvSpPr>
        <xdr:cNvPr id="194" name="TextBox 193">
          <a:extLst>
            <a:ext uri="{FF2B5EF4-FFF2-40B4-BE49-F238E27FC236}">
              <a16:creationId xmlns:a16="http://schemas.microsoft.com/office/drawing/2014/main" id="{00000000-0008-0000-0200-0000C2000000}"/>
            </a:ext>
          </a:extLst>
        </xdr:cNvPr>
        <xdr:cNvSpPr txBox="1"/>
      </xdr:nvSpPr>
      <xdr:spPr>
        <a:xfrm>
          <a:off x="8966835" y="25765125"/>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755464"/>
    <xdr:sp macro="" textlink="">
      <xdr:nvSpPr>
        <xdr:cNvPr id="195" name="TextBox 194">
          <a:extLst>
            <a:ext uri="{FF2B5EF4-FFF2-40B4-BE49-F238E27FC236}">
              <a16:creationId xmlns:a16="http://schemas.microsoft.com/office/drawing/2014/main" id="{00000000-0008-0000-0200-0000C3000000}"/>
            </a:ext>
          </a:extLst>
        </xdr:cNvPr>
        <xdr:cNvSpPr txBox="1"/>
      </xdr:nvSpPr>
      <xdr:spPr>
        <a:xfrm>
          <a:off x="15440025" y="20364450"/>
          <a:ext cx="3556010"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682488"/>
    <xdr:sp macro="" textlink="">
      <xdr:nvSpPr>
        <xdr:cNvPr id="196" name="TextBox 195">
          <a:extLst>
            <a:ext uri="{FF2B5EF4-FFF2-40B4-BE49-F238E27FC236}">
              <a16:creationId xmlns:a16="http://schemas.microsoft.com/office/drawing/2014/main" id="{00000000-0008-0000-0200-0000C4000000}"/>
            </a:ext>
          </a:extLst>
        </xdr:cNvPr>
        <xdr:cNvSpPr txBox="1"/>
      </xdr:nvSpPr>
      <xdr:spPr>
        <a:xfrm>
          <a:off x="15440025" y="25765125"/>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846" cy="1682488"/>
    <xdr:sp macro="" textlink="">
      <xdr:nvSpPr>
        <xdr:cNvPr id="197" name="TextBox 196">
          <a:extLst>
            <a:ext uri="{FF2B5EF4-FFF2-40B4-BE49-F238E27FC236}">
              <a16:creationId xmlns:a16="http://schemas.microsoft.com/office/drawing/2014/main" id="{00000000-0008-0000-0200-0000C5000000}"/>
            </a:ext>
          </a:extLst>
        </xdr:cNvPr>
        <xdr:cNvSpPr txBox="1"/>
      </xdr:nvSpPr>
      <xdr:spPr>
        <a:xfrm>
          <a:off x="11915775" y="25765125"/>
          <a:ext cx="355584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3718" cy="1682488"/>
    <xdr:sp macro="" textlink="">
      <xdr:nvSpPr>
        <xdr:cNvPr id="198" name="TextBox 197">
          <a:extLst>
            <a:ext uri="{FF2B5EF4-FFF2-40B4-BE49-F238E27FC236}">
              <a16:creationId xmlns:a16="http://schemas.microsoft.com/office/drawing/2014/main" id="{00000000-0008-0000-0200-0000C6000000}"/>
            </a:ext>
          </a:extLst>
        </xdr:cNvPr>
        <xdr:cNvSpPr txBox="1"/>
      </xdr:nvSpPr>
      <xdr:spPr>
        <a:xfrm>
          <a:off x="16868775" y="25765125"/>
          <a:ext cx="3523718"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755464"/>
    <xdr:sp macro="" textlink="">
      <xdr:nvSpPr>
        <xdr:cNvPr id="199" name="TextBox 198">
          <a:extLst>
            <a:ext uri="{FF2B5EF4-FFF2-40B4-BE49-F238E27FC236}">
              <a16:creationId xmlns:a16="http://schemas.microsoft.com/office/drawing/2014/main" id="{00000000-0008-0000-0200-0000C7000000}"/>
            </a:ext>
          </a:extLst>
        </xdr:cNvPr>
        <xdr:cNvSpPr txBox="1"/>
      </xdr:nvSpPr>
      <xdr:spPr>
        <a:xfrm>
          <a:off x="11348085" y="20364450"/>
          <a:ext cx="3556010"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682488"/>
    <xdr:sp macro="" textlink="">
      <xdr:nvSpPr>
        <xdr:cNvPr id="200" name="TextBox 199">
          <a:extLst>
            <a:ext uri="{FF2B5EF4-FFF2-40B4-BE49-F238E27FC236}">
              <a16:creationId xmlns:a16="http://schemas.microsoft.com/office/drawing/2014/main" id="{00000000-0008-0000-0200-0000C8000000}"/>
            </a:ext>
          </a:extLst>
        </xdr:cNvPr>
        <xdr:cNvSpPr txBox="1"/>
      </xdr:nvSpPr>
      <xdr:spPr>
        <a:xfrm>
          <a:off x="11348085" y="25765125"/>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927" cy="1741250"/>
    <xdr:sp macro="" textlink="">
      <xdr:nvSpPr>
        <xdr:cNvPr id="201" name="TextBox 200">
          <a:extLst>
            <a:ext uri="{FF2B5EF4-FFF2-40B4-BE49-F238E27FC236}">
              <a16:creationId xmlns:a16="http://schemas.microsoft.com/office/drawing/2014/main" id="{00000000-0008-0000-0200-0000C9000000}"/>
            </a:ext>
          </a:extLst>
        </xdr:cNvPr>
        <xdr:cNvSpPr txBox="1"/>
      </xdr:nvSpPr>
      <xdr:spPr>
        <a:xfrm>
          <a:off x="9252585" y="30356175"/>
          <a:ext cx="3555927"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741250"/>
    <xdr:sp macro="" textlink="">
      <xdr:nvSpPr>
        <xdr:cNvPr id="202" name="TextBox 201">
          <a:extLst>
            <a:ext uri="{FF2B5EF4-FFF2-40B4-BE49-F238E27FC236}">
              <a16:creationId xmlns:a16="http://schemas.microsoft.com/office/drawing/2014/main" id="{00000000-0008-0000-0200-0000CA000000}"/>
            </a:ext>
          </a:extLst>
        </xdr:cNvPr>
        <xdr:cNvSpPr txBox="1"/>
      </xdr:nvSpPr>
      <xdr:spPr>
        <a:xfrm>
          <a:off x="10967085" y="30356175"/>
          <a:ext cx="3556010"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7719" cy="1679418"/>
    <xdr:sp macro="" textlink="">
      <xdr:nvSpPr>
        <xdr:cNvPr id="188" name="TextBox 187">
          <a:extLst>
            <a:ext uri="{FF2B5EF4-FFF2-40B4-BE49-F238E27FC236}">
              <a16:creationId xmlns:a16="http://schemas.microsoft.com/office/drawing/2014/main" id="{00000000-0008-0000-0200-0000BC000000}"/>
            </a:ext>
          </a:extLst>
        </xdr:cNvPr>
        <xdr:cNvSpPr txBox="1"/>
      </xdr:nvSpPr>
      <xdr:spPr>
        <a:xfrm>
          <a:off x="5619750" y="20583525"/>
          <a:ext cx="3537719"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7719" cy="1747852"/>
    <xdr:sp macro="" textlink="">
      <xdr:nvSpPr>
        <xdr:cNvPr id="203" name="TextBox 202">
          <a:extLst>
            <a:ext uri="{FF2B5EF4-FFF2-40B4-BE49-F238E27FC236}">
              <a16:creationId xmlns:a16="http://schemas.microsoft.com/office/drawing/2014/main" id="{00000000-0008-0000-0200-0000CB000000}"/>
            </a:ext>
          </a:extLst>
        </xdr:cNvPr>
        <xdr:cNvSpPr txBox="1"/>
      </xdr:nvSpPr>
      <xdr:spPr>
        <a:xfrm>
          <a:off x="5619750" y="16640175"/>
          <a:ext cx="3537719"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7719" cy="1672229"/>
    <xdr:sp macro="" textlink="">
      <xdr:nvSpPr>
        <xdr:cNvPr id="204" name="TextBox 203">
          <a:extLst>
            <a:ext uri="{FF2B5EF4-FFF2-40B4-BE49-F238E27FC236}">
              <a16:creationId xmlns:a16="http://schemas.microsoft.com/office/drawing/2014/main" id="{00000000-0008-0000-0200-0000CC000000}"/>
            </a:ext>
          </a:extLst>
        </xdr:cNvPr>
        <xdr:cNvSpPr txBox="1"/>
      </xdr:nvSpPr>
      <xdr:spPr>
        <a:xfrm>
          <a:off x="5619750" y="20583525"/>
          <a:ext cx="3537719"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205" name="TextBox 204">
          <a:extLst>
            <a:ext uri="{FF2B5EF4-FFF2-40B4-BE49-F238E27FC236}">
              <a16:creationId xmlns:a16="http://schemas.microsoft.com/office/drawing/2014/main" id="{00000000-0008-0000-0200-0000CD000000}"/>
            </a:ext>
          </a:extLst>
        </xdr:cNvPr>
        <xdr:cNvSpPr txBox="1"/>
      </xdr:nvSpPr>
      <xdr:spPr>
        <a:xfrm>
          <a:off x="6576060" y="20583525"/>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382" cy="1755464"/>
    <xdr:sp macro="" textlink="">
      <xdr:nvSpPr>
        <xdr:cNvPr id="206" name="TextBox 205">
          <a:extLst>
            <a:ext uri="{FF2B5EF4-FFF2-40B4-BE49-F238E27FC236}">
              <a16:creationId xmlns:a16="http://schemas.microsoft.com/office/drawing/2014/main" id="{00000000-0008-0000-0200-0000CE000000}"/>
            </a:ext>
          </a:extLst>
        </xdr:cNvPr>
        <xdr:cNvSpPr txBox="1"/>
      </xdr:nvSpPr>
      <xdr:spPr>
        <a:xfrm>
          <a:off x="9195435" y="16640175"/>
          <a:ext cx="3544382"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382" cy="1672229"/>
    <xdr:sp macro="" textlink="">
      <xdr:nvSpPr>
        <xdr:cNvPr id="207" name="TextBox 206">
          <a:extLst>
            <a:ext uri="{FF2B5EF4-FFF2-40B4-BE49-F238E27FC236}">
              <a16:creationId xmlns:a16="http://schemas.microsoft.com/office/drawing/2014/main" id="{00000000-0008-0000-0200-0000CF000000}"/>
            </a:ext>
          </a:extLst>
        </xdr:cNvPr>
        <xdr:cNvSpPr txBox="1"/>
      </xdr:nvSpPr>
      <xdr:spPr>
        <a:xfrm>
          <a:off x="9195435" y="20583525"/>
          <a:ext cx="3544382"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208" name="TextBox 207">
          <a:extLst>
            <a:ext uri="{FF2B5EF4-FFF2-40B4-BE49-F238E27FC236}">
              <a16:creationId xmlns:a16="http://schemas.microsoft.com/office/drawing/2014/main" id="{00000000-0008-0000-0200-0000D0000000}"/>
            </a:ext>
          </a:extLst>
        </xdr:cNvPr>
        <xdr:cNvSpPr txBox="1"/>
      </xdr:nvSpPr>
      <xdr:spPr>
        <a:xfrm>
          <a:off x="8719185" y="20583525"/>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55464"/>
    <xdr:sp macro="" textlink="">
      <xdr:nvSpPr>
        <xdr:cNvPr id="209" name="TextBox 208">
          <a:extLst>
            <a:ext uri="{FF2B5EF4-FFF2-40B4-BE49-F238E27FC236}">
              <a16:creationId xmlns:a16="http://schemas.microsoft.com/office/drawing/2014/main" id="{00000000-0008-0000-0200-0000D1000000}"/>
            </a:ext>
          </a:extLst>
        </xdr:cNvPr>
        <xdr:cNvSpPr txBox="1"/>
      </xdr:nvSpPr>
      <xdr:spPr>
        <a:xfrm>
          <a:off x="14434185" y="16640175"/>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210" name="TextBox 209">
          <a:extLst>
            <a:ext uri="{FF2B5EF4-FFF2-40B4-BE49-F238E27FC236}">
              <a16:creationId xmlns:a16="http://schemas.microsoft.com/office/drawing/2014/main" id="{00000000-0008-0000-0200-0000D2000000}"/>
            </a:ext>
          </a:extLst>
        </xdr:cNvPr>
        <xdr:cNvSpPr txBox="1"/>
      </xdr:nvSpPr>
      <xdr:spPr>
        <a:xfrm>
          <a:off x="14434185" y="20583525"/>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2831" cy="1672229"/>
    <xdr:sp macro="" textlink="">
      <xdr:nvSpPr>
        <xdr:cNvPr id="211" name="TextBox 210">
          <a:extLst>
            <a:ext uri="{FF2B5EF4-FFF2-40B4-BE49-F238E27FC236}">
              <a16:creationId xmlns:a16="http://schemas.microsoft.com/office/drawing/2014/main" id="{00000000-0008-0000-0200-0000D3000000}"/>
            </a:ext>
          </a:extLst>
        </xdr:cNvPr>
        <xdr:cNvSpPr txBox="1"/>
      </xdr:nvSpPr>
      <xdr:spPr>
        <a:xfrm>
          <a:off x="11096625" y="20583525"/>
          <a:ext cx="3532831"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55464"/>
    <xdr:sp macro="" textlink="">
      <xdr:nvSpPr>
        <xdr:cNvPr id="212" name="TextBox 211">
          <a:extLst>
            <a:ext uri="{FF2B5EF4-FFF2-40B4-BE49-F238E27FC236}">
              <a16:creationId xmlns:a16="http://schemas.microsoft.com/office/drawing/2014/main" id="{00000000-0008-0000-0200-0000D4000000}"/>
            </a:ext>
          </a:extLst>
        </xdr:cNvPr>
        <xdr:cNvSpPr txBox="1"/>
      </xdr:nvSpPr>
      <xdr:spPr>
        <a:xfrm>
          <a:off x="10624185" y="16640175"/>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213" name="TextBox 212">
          <a:extLst>
            <a:ext uri="{FF2B5EF4-FFF2-40B4-BE49-F238E27FC236}">
              <a16:creationId xmlns:a16="http://schemas.microsoft.com/office/drawing/2014/main" id="{00000000-0008-0000-0200-0000D5000000}"/>
            </a:ext>
          </a:extLst>
        </xdr:cNvPr>
        <xdr:cNvSpPr txBox="1"/>
      </xdr:nvSpPr>
      <xdr:spPr>
        <a:xfrm>
          <a:off x="10624185" y="20583525"/>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382" cy="1741250"/>
    <xdr:sp macro="" textlink="">
      <xdr:nvSpPr>
        <xdr:cNvPr id="214" name="TextBox 213">
          <a:extLst>
            <a:ext uri="{FF2B5EF4-FFF2-40B4-BE49-F238E27FC236}">
              <a16:creationId xmlns:a16="http://schemas.microsoft.com/office/drawing/2014/main" id="{00000000-0008-0000-0200-0000D6000000}"/>
            </a:ext>
          </a:extLst>
        </xdr:cNvPr>
        <xdr:cNvSpPr txBox="1"/>
      </xdr:nvSpPr>
      <xdr:spPr>
        <a:xfrm>
          <a:off x="8957310" y="26974800"/>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41250"/>
    <xdr:sp macro="" textlink="">
      <xdr:nvSpPr>
        <xdr:cNvPr id="215" name="TextBox 214">
          <a:extLst>
            <a:ext uri="{FF2B5EF4-FFF2-40B4-BE49-F238E27FC236}">
              <a16:creationId xmlns:a16="http://schemas.microsoft.com/office/drawing/2014/main" id="{00000000-0008-0000-0200-0000D7000000}"/>
            </a:ext>
          </a:extLst>
        </xdr:cNvPr>
        <xdr:cNvSpPr txBox="1"/>
      </xdr:nvSpPr>
      <xdr:spPr>
        <a:xfrm>
          <a:off x="14196060" y="26974800"/>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41250"/>
    <xdr:sp macro="" textlink="">
      <xdr:nvSpPr>
        <xdr:cNvPr id="216" name="TextBox 215">
          <a:extLst>
            <a:ext uri="{FF2B5EF4-FFF2-40B4-BE49-F238E27FC236}">
              <a16:creationId xmlns:a16="http://schemas.microsoft.com/office/drawing/2014/main" id="{00000000-0008-0000-0200-0000D8000000}"/>
            </a:ext>
          </a:extLst>
        </xdr:cNvPr>
        <xdr:cNvSpPr txBox="1"/>
      </xdr:nvSpPr>
      <xdr:spPr>
        <a:xfrm>
          <a:off x="10386060" y="26974800"/>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382" cy="1741250"/>
    <xdr:sp macro="" textlink="">
      <xdr:nvSpPr>
        <xdr:cNvPr id="217" name="TextBox 216">
          <a:extLst>
            <a:ext uri="{FF2B5EF4-FFF2-40B4-BE49-F238E27FC236}">
              <a16:creationId xmlns:a16="http://schemas.microsoft.com/office/drawing/2014/main" id="{00000000-0008-0000-0200-0000D9000000}"/>
            </a:ext>
          </a:extLst>
        </xdr:cNvPr>
        <xdr:cNvSpPr txBox="1"/>
      </xdr:nvSpPr>
      <xdr:spPr>
        <a:xfrm>
          <a:off x="8957310" y="24364950"/>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41250"/>
    <xdr:sp macro="" textlink="">
      <xdr:nvSpPr>
        <xdr:cNvPr id="218" name="TextBox 217">
          <a:extLst>
            <a:ext uri="{FF2B5EF4-FFF2-40B4-BE49-F238E27FC236}">
              <a16:creationId xmlns:a16="http://schemas.microsoft.com/office/drawing/2014/main" id="{00000000-0008-0000-0200-0000DA000000}"/>
            </a:ext>
          </a:extLst>
        </xdr:cNvPr>
        <xdr:cNvSpPr txBox="1"/>
      </xdr:nvSpPr>
      <xdr:spPr>
        <a:xfrm>
          <a:off x="14196060" y="24364950"/>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41250"/>
    <xdr:sp macro="" textlink="">
      <xdr:nvSpPr>
        <xdr:cNvPr id="219" name="TextBox 218">
          <a:extLst>
            <a:ext uri="{FF2B5EF4-FFF2-40B4-BE49-F238E27FC236}">
              <a16:creationId xmlns:a16="http://schemas.microsoft.com/office/drawing/2014/main" id="{00000000-0008-0000-0200-0000DB000000}"/>
            </a:ext>
          </a:extLst>
        </xdr:cNvPr>
        <xdr:cNvSpPr txBox="1"/>
      </xdr:nvSpPr>
      <xdr:spPr>
        <a:xfrm>
          <a:off x="10386060" y="24364950"/>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683569"/>
    <xdr:sp macro="" textlink="">
      <xdr:nvSpPr>
        <xdr:cNvPr id="220" name="TextBox 219">
          <a:extLst>
            <a:ext uri="{FF2B5EF4-FFF2-40B4-BE49-F238E27FC236}">
              <a16:creationId xmlns:a16="http://schemas.microsoft.com/office/drawing/2014/main" id="{00000000-0008-0000-0200-0000DC000000}"/>
            </a:ext>
          </a:extLst>
        </xdr:cNvPr>
        <xdr:cNvSpPr txBox="1"/>
      </xdr:nvSpPr>
      <xdr:spPr>
        <a:xfrm>
          <a:off x="20269200" y="22574250"/>
          <a:ext cx="3529844" cy="168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744986"/>
    <xdr:sp macro="" textlink="">
      <xdr:nvSpPr>
        <xdr:cNvPr id="221" name="TextBox 220">
          <a:extLst>
            <a:ext uri="{FF2B5EF4-FFF2-40B4-BE49-F238E27FC236}">
              <a16:creationId xmlns:a16="http://schemas.microsoft.com/office/drawing/2014/main" id="{00000000-0008-0000-0200-0000DD000000}"/>
            </a:ext>
          </a:extLst>
        </xdr:cNvPr>
        <xdr:cNvSpPr txBox="1"/>
      </xdr:nvSpPr>
      <xdr:spPr>
        <a:xfrm>
          <a:off x="20269200" y="18202275"/>
          <a:ext cx="3529844" cy="1744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676302"/>
    <xdr:sp macro="" textlink="">
      <xdr:nvSpPr>
        <xdr:cNvPr id="222" name="TextBox 221">
          <a:extLst>
            <a:ext uri="{FF2B5EF4-FFF2-40B4-BE49-F238E27FC236}">
              <a16:creationId xmlns:a16="http://schemas.microsoft.com/office/drawing/2014/main" id="{00000000-0008-0000-0200-0000DE000000}"/>
            </a:ext>
          </a:extLst>
        </xdr:cNvPr>
        <xdr:cNvSpPr txBox="1"/>
      </xdr:nvSpPr>
      <xdr:spPr>
        <a:xfrm>
          <a:off x="20269200" y="22574250"/>
          <a:ext cx="3529844"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223" name="TextBox 222">
          <a:extLst>
            <a:ext uri="{FF2B5EF4-FFF2-40B4-BE49-F238E27FC236}">
              <a16:creationId xmlns:a16="http://schemas.microsoft.com/office/drawing/2014/main" id="{00000000-0008-0000-0200-0000DF00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42629"/>
    <xdr:sp macro="" textlink="">
      <xdr:nvSpPr>
        <xdr:cNvPr id="224" name="TextBox 223">
          <a:extLst>
            <a:ext uri="{FF2B5EF4-FFF2-40B4-BE49-F238E27FC236}">
              <a16:creationId xmlns:a16="http://schemas.microsoft.com/office/drawing/2014/main" id="{00000000-0008-0000-0200-0000E0000000}"/>
            </a:ext>
          </a:extLst>
        </xdr:cNvPr>
        <xdr:cNvSpPr txBox="1"/>
      </xdr:nvSpPr>
      <xdr:spPr>
        <a:xfrm>
          <a:off x="20269200" y="18202275"/>
          <a:ext cx="3542843"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676302"/>
    <xdr:sp macro="" textlink="">
      <xdr:nvSpPr>
        <xdr:cNvPr id="225" name="TextBox 224">
          <a:extLst>
            <a:ext uri="{FF2B5EF4-FFF2-40B4-BE49-F238E27FC236}">
              <a16:creationId xmlns:a16="http://schemas.microsoft.com/office/drawing/2014/main" id="{00000000-0008-0000-0200-0000E1000000}"/>
            </a:ext>
          </a:extLst>
        </xdr:cNvPr>
        <xdr:cNvSpPr txBox="1"/>
      </xdr:nvSpPr>
      <xdr:spPr>
        <a:xfrm>
          <a:off x="20269200" y="22574250"/>
          <a:ext cx="354284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226" name="TextBox 225">
          <a:extLst>
            <a:ext uri="{FF2B5EF4-FFF2-40B4-BE49-F238E27FC236}">
              <a16:creationId xmlns:a16="http://schemas.microsoft.com/office/drawing/2014/main" id="{00000000-0008-0000-0200-0000E200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227" name="TextBox 226">
          <a:extLst>
            <a:ext uri="{FF2B5EF4-FFF2-40B4-BE49-F238E27FC236}">
              <a16:creationId xmlns:a16="http://schemas.microsoft.com/office/drawing/2014/main" id="{00000000-0008-0000-0200-0000E3000000}"/>
            </a:ext>
          </a:extLst>
        </xdr:cNvPr>
        <xdr:cNvSpPr txBox="1"/>
      </xdr:nvSpPr>
      <xdr:spPr>
        <a:xfrm>
          <a:off x="20269200" y="182022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228" name="TextBox 227">
          <a:extLst>
            <a:ext uri="{FF2B5EF4-FFF2-40B4-BE49-F238E27FC236}">
              <a16:creationId xmlns:a16="http://schemas.microsoft.com/office/drawing/2014/main" id="{00000000-0008-0000-0200-0000E400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1363" cy="1676302"/>
    <xdr:sp macro="" textlink="">
      <xdr:nvSpPr>
        <xdr:cNvPr id="229" name="TextBox 228">
          <a:extLst>
            <a:ext uri="{FF2B5EF4-FFF2-40B4-BE49-F238E27FC236}">
              <a16:creationId xmlns:a16="http://schemas.microsoft.com/office/drawing/2014/main" id="{00000000-0008-0000-0200-0000E5000000}"/>
            </a:ext>
          </a:extLst>
        </xdr:cNvPr>
        <xdr:cNvSpPr txBox="1"/>
      </xdr:nvSpPr>
      <xdr:spPr>
        <a:xfrm>
          <a:off x="20269200" y="22574250"/>
          <a:ext cx="353136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445197" cy="1676302"/>
    <xdr:sp macro="" textlink="">
      <xdr:nvSpPr>
        <xdr:cNvPr id="230" name="TextBox 229">
          <a:extLst>
            <a:ext uri="{FF2B5EF4-FFF2-40B4-BE49-F238E27FC236}">
              <a16:creationId xmlns:a16="http://schemas.microsoft.com/office/drawing/2014/main" id="{00000000-0008-0000-0200-0000E6000000}"/>
            </a:ext>
          </a:extLst>
        </xdr:cNvPr>
        <xdr:cNvSpPr txBox="1"/>
      </xdr:nvSpPr>
      <xdr:spPr>
        <a:xfrm>
          <a:off x="20269200" y="22574250"/>
          <a:ext cx="3445197"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231" name="TextBox 230">
          <a:extLst>
            <a:ext uri="{FF2B5EF4-FFF2-40B4-BE49-F238E27FC236}">
              <a16:creationId xmlns:a16="http://schemas.microsoft.com/office/drawing/2014/main" id="{00000000-0008-0000-0200-0000E7000000}"/>
            </a:ext>
          </a:extLst>
        </xdr:cNvPr>
        <xdr:cNvSpPr txBox="1"/>
      </xdr:nvSpPr>
      <xdr:spPr>
        <a:xfrm>
          <a:off x="20269200" y="182022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232" name="TextBox 231">
          <a:extLst>
            <a:ext uri="{FF2B5EF4-FFF2-40B4-BE49-F238E27FC236}">
              <a16:creationId xmlns:a16="http://schemas.microsoft.com/office/drawing/2014/main" id="{00000000-0008-0000-0200-0000E800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76039"/>
    <xdr:sp macro="" textlink="">
      <xdr:nvSpPr>
        <xdr:cNvPr id="233" name="TextBox 232">
          <a:extLst>
            <a:ext uri="{FF2B5EF4-FFF2-40B4-BE49-F238E27FC236}">
              <a16:creationId xmlns:a16="http://schemas.microsoft.com/office/drawing/2014/main" id="{00000000-0008-0000-0200-0000E9000000}"/>
            </a:ext>
          </a:extLst>
        </xdr:cNvPr>
        <xdr:cNvSpPr txBox="1"/>
      </xdr:nvSpPr>
      <xdr:spPr>
        <a:xfrm>
          <a:off x="20269200" y="26412825"/>
          <a:ext cx="3542843"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234" name="TextBox 233">
          <a:extLst>
            <a:ext uri="{FF2B5EF4-FFF2-40B4-BE49-F238E27FC236}">
              <a16:creationId xmlns:a16="http://schemas.microsoft.com/office/drawing/2014/main" id="{00000000-0008-0000-0200-0000EA000000}"/>
            </a:ext>
          </a:extLst>
        </xdr:cNvPr>
        <xdr:cNvSpPr txBox="1"/>
      </xdr:nvSpPr>
      <xdr:spPr>
        <a:xfrm>
          <a:off x="20269200" y="26412825"/>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235" name="TextBox 234">
          <a:extLst>
            <a:ext uri="{FF2B5EF4-FFF2-40B4-BE49-F238E27FC236}">
              <a16:creationId xmlns:a16="http://schemas.microsoft.com/office/drawing/2014/main" id="{00000000-0008-0000-0200-0000EB000000}"/>
            </a:ext>
          </a:extLst>
        </xdr:cNvPr>
        <xdr:cNvSpPr txBox="1"/>
      </xdr:nvSpPr>
      <xdr:spPr>
        <a:xfrm>
          <a:off x="20269200" y="26412825"/>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620421"/>
    <xdr:sp macro="" textlink="">
      <xdr:nvSpPr>
        <xdr:cNvPr id="236" name="TextBox 235">
          <a:extLst>
            <a:ext uri="{FF2B5EF4-FFF2-40B4-BE49-F238E27FC236}">
              <a16:creationId xmlns:a16="http://schemas.microsoft.com/office/drawing/2014/main" id="{00000000-0008-0000-0200-0000EC000000}"/>
            </a:ext>
          </a:extLst>
        </xdr:cNvPr>
        <xdr:cNvSpPr txBox="1"/>
      </xdr:nvSpPr>
      <xdr:spPr>
        <a:xfrm>
          <a:off x="20269200" y="22574250"/>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842257"/>
    <xdr:sp macro="" textlink="">
      <xdr:nvSpPr>
        <xdr:cNvPr id="237" name="TextBox 236">
          <a:extLst>
            <a:ext uri="{FF2B5EF4-FFF2-40B4-BE49-F238E27FC236}">
              <a16:creationId xmlns:a16="http://schemas.microsoft.com/office/drawing/2014/main" id="{00000000-0008-0000-0200-0000ED000000}"/>
            </a:ext>
          </a:extLst>
        </xdr:cNvPr>
        <xdr:cNvSpPr txBox="1"/>
      </xdr:nvSpPr>
      <xdr:spPr>
        <a:xfrm>
          <a:off x="20269200" y="18202275"/>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587258"/>
    <xdr:sp macro="" textlink="">
      <xdr:nvSpPr>
        <xdr:cNvPr id="238" name="TextBox 237">
          <a:extLst>
            <a:ext uri="{FF2B5EF4-FFF2-40B4-BE49-F238E27FC236}">
              <a16:creationId xmlns:a16="http://schemas.microsoft.com/office/drawing/2014/main" id="{00000000-0008-0000-0200-0000EE000000}"/>
            </a:ext>
          </a:extLst>
        </xdr:cNvPr>
        <xdr:cNvSpPr txBox="1"/>
      </xdr:nvSpPr>
      <xdr:spPr>
        <a:xfrm>
          <a:off x="20269200" y="22574250"/>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932" cy="1587258"/>
    <xdr:sp macro="" textlink="">
      <xdr:nvSpPr>
        <xdr:cNvPr id="239" name="TextBox 238">
          <a:extLst>
            <a:ext uri="{FF2B5EF4-FFF2-40B4-BE49-F238E27FC236}">
              <a16:creationId xmlns:a16="http://schemas.microsoft.com/office/drawing/2014/main" id="{00000000-0008-0000-0200-0000EF000000}"/>
            </a:ext>
          </a:extLst>
        </xdr:cNvPr>
        <xdr:cNvSpPr txBox="1"/>
      </xdr:nvSpPr>
      <xdr:spPr>
        <a:xfrm>
          <a:off x="20269200" y="22574250"/>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240" name="TextBox 239">
          <a:extLst>
            <a:ext uri="{FF2B5EF4-FFF2-40B4-BE49-F238E27FC236}">
              <a16:creationId xmlns:a16="http://schemas.microsoft.com/office/drawing/2014/main" id="{00000000-0008-0000-0200-0000F0000000}"/>
            </a:ext>
          </a:extLst>
        </xdr:cNvPr>
        <xdr:cNvSpPr txBox="1"/>
      </xdr:nvSpPr>
      <xdr:spPr>
        <a:xfrm>
          <a:off x="20269200" y="182022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241" name="TextBox 240">
          <a:extLst>
            <a:ext uri="{FF2B5EF4-FFF2-40B4-BE49-F238E27FC236}">
              <a16:creationId xmlns:a16="http://schemas.microsoft.com/office/drawing/2014/main" id="{00000000-0008-0000-0200-0000F1000000}"/>
            </a:ext>
          </a:extLst>
        </xdr:cNvPr>
        <xdr:cNvSpPr txBox="1"/>
      </xdr:nvSpPr>
      <xdr:spPr>
        <a:xfrm>
          <a:off x="20269200" y="2257425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593" cy="1587258"/>
    <xdr:sp macro="" textlink="">
      <xdr:nvSpPr>
        <xdr:cNvPr id="242" name="TextBox 241">
          <a:extLst>
            <a:ext uri="{FF2B5EF4-FFF2-40B4-BE49-F238E27FC236}">
              <a16:creationId xmlns:a16="http://schemas.microsoft.com/office/drawing/2014/main" id="{00000000-0008-0000-0200-0000F2000000}"/>
            </a:ext>
          </a:extLst>
        </xdr:cNvPr>
        <xdr:cNvSpPr txBox="1"/>
      </xdr:nvSpPr>
      <xdr:spPr>
        <a:xfrm>
          <a:off x="20269200" y="22574250"/>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8203" cy="1587258"/>
    <xdr:sp macro="" textlink="">
      <xdr:nvSpPr>
        <xdr:cNvPr id="243" name="TextBox 242">
          <a:extLst>
            <a:ext uri="{FF2B5EF4-FFF2-40B4-BE49-F238E27FC236}">
              <a16:creationId xmlns:a16="http://schemas.microsoft.com/office/drawing/2014/main" id="{00000000-0008-0000-0200-0000F3000000}"/>
            </a:ext>
          </a:extLst>
        </xdr:cNvPr>
        <xdr:cNvSpPr txBox="1"/>
      </xdr:nvSpPr>
      <xdr:spPr>
        <a:xfrm>
          <a:off x="20269200" y="22574250"/>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244" name="TextBox 243">
          <a:extLst>
            <a:ext uri="{FF2B5EF4-FFF2-40B4-BE49-F238E27FC236}">
              <a16:creationId xmlns:a16="http://schemas.microsoft.com/office/drawing/2014/main" id="{00000000-0008-0000-0200-0000F4000000}"/>
            </a:ext>
          </a:extLst>
        </xdr:cNvPr>
        <xdr:cNvSpPr txBox="1"/>
      </xdr:nvSpPr>
      <xdr:spPr>
        <a:xfrm>
          <a:off x="20269200" y="182022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245" name="TextBox 244">
          <a:extLst>
            <a:ext uri="{FF2B5EF4-FFF2-40B4-BE49-F238E27FC236}">
              <a16:creationId xmlns:a16="http://schemas.microsoft.com/office/drawing/2014/main" id="{00000000-0008-0000-0200-0000F5000000}"/>
            </a:ext>
          </a:extLst>
        </xdr:cNvPr>
        <xdr:cNvSpPr txBox="1"/>
      </xdr:nvSpPr>
      <xdr:spPr>
        <a:xfrm>
          <a:off x="20269200" y="2257425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246" name="TextBox 245">
          <a:extLst>
            <a:ext uri="{FF2B5EF4-FFF2-40B4-BE49-F238E27FC236}">
              <a16:creationId xmlns:a16="http://schemas.microsoft.com/office/drawing/2014/main" id="{00000000-0008-0000-0200-0000F6000000}"/>
            </a:ext>
          </a:extLst>
        </xdr:cNvPr>
        <xdr:cNvSpPr txBox="1"/>
      </xdr:nvSpPr>
      <xdr:spPr>
        <a:xfrm>
          <a:off x="20269200" y="2641282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247" name="TextBox 246">
          <a:extLst>
            <a:ext uri="{FF2B5EF4-FFF2-40B4-BE49-F238E27FC236}">
              <a16:creationId xmlns:a16="http://schemas.microsoft.com/office/drawing/2014/main" id="{00000000-0008-0000-0200-0000F7000000}"/>
            </a:ext>
          </a:extLst>
        </xdr:cNvPr>
        <xdr:cNvSpPr txBox="1"/>
      </xdr:nvSpPr>
      <xdr:spPr>
        <a:xfrm>
          <a:off x="20269200" y="2641282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222"/>
    <xdr:sp macro="" textlink="">
      <xdr:nvSpPr>
        <xdr:cNvPr id="248" name="TextBox 247">
          <a:extLst>
            <a:ext uri="{FF2B5EF4-FFF2-40B4-BE49-F238E27FC236}">
              <a16:creationId xmlns:a16="http://schemas.microsoft.com/office/drawing/2014/main" id="{00000000-0008-0000-0200-0000F8000000}"/>
            </a:ext>
          </a:extLst>
        </xdr:cNvPr>
        <xdr:cNvSpPr txBox="1"/>
      </xdr:nvSpPr>
      <xdr:spPr>
        <a:xfrm>
          <a:off x="20269200" y="22574250"/>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748771"/>
    <xdr:sp macro="" textlink="">
      <xdr:nvSpPr>
        <xdr:cNvPr id="249" name="TextBox 248">
          <a:extLst>
            <a:ext uri="{FF2B5EF4-FFF2-40B4-BE49-F238E27FC236}">
              <a16:creationId xmlns:a16="http://schemas.microsoft.com/office/drawing/2014/main" id="{00000000-0008-0000-0200-0000F9000000}"/>
            </a:ext>
          </a:extLst>
        </xdr:cNvPr>
        <xdr:cNvSpPr txBox="1"/>
      </xdr:nvSpPr>
      <xdr:spPr>
        <a:xfrm>
          <a:off x="20269200" y="18202275"/>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119"/>
    <xdr:sp macro="" textlink="">
      <xdr:nvSpPr>
        <xdr:cNvPr id="250" name="TextBox 249">
          <a:extLst>
            <a:ext uri="{FF2B5EF4-FFF2-40B4-BE49-F238E27FC236}">
              <a16:creationId xmlns:a16="http://schemas.microsoft.com/office/drawing/2014/main" id="{00000000-0008-0000-0200-0000FA000000}"/>
            </a:ext>
          </a:extLst>
        </xdr:cNvPr>
        <xdr:cNvSpPr txBox="1"/>
      </xdr:nvSpPr>
      <xdr:spPr>
        <a:xfrm>
          <a:off x="20269200" y="22574250"/>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114" cy="1662119"/>
    <xdr:sp macro="" textlink="">
      <xdr:nvSpPr>
        <xdr:cNvPr id="251" name="TextBox 250">
          <a:extLst>
            <a:ext uri="{FF2B5EF4-FFF2-40B4-BE49-F238E27FC236}">
              <a16:creationId xmlns:a16="http://schemas.microsoft.com/office/drawing/2014/main" id="{00000000-0008-0000-0200-0000FB000000}"/>
            </a:ext>
          </a:extLst>
        </xdr:cNvPr>
        <xdr:cNvSpPr txBox="1"/>
      </xdr:nvSpPr>
      <xdr:spPr>
        <a:xfrm>
          <a:off x="20269200" y="22574250"/>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731221"/>
    <xdr:sp macro="" textlink="">
      <xdr:nvSpPr>
        <xdr:cNvPr id="252" name="TextBox 251">
          <a:extLst>
            <a:ext uri="{FF2B5EF4-FFF2-40B4-BE49-F238E27FC236}">
              <a16:creationId xmlns:a16="http://schemas.microsoft.com/office/drawing/2014/main" id="{00000000-0008-0000-0200-0000FC000000}"/>
            </a:ext>
          </a:extLst>
        </xdr:cNvPr>
        <xdr:cNvSpPr txBox="1"/>
      </xdr:nvSpPr>
      <xdr:spPr>
        <a:xfrm>
          <a:off x="20269200" y="18202275"/>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662119"/>
    <xdr:sp macro="" textlink="">
      <xdr:nvSpPr>
        <xdr:cNvPr id="253" name="TextBox 252">
          <a:extLst>
            <a:ext uri="{FF2B5EF4-FFF2-40B4-BE49-F238E27FC236}">
              <a16:creationId xmlns:a16="http://schemas.microsoft.com/office/drawing/2014/main" id="{00000000-0008-0000-0200-0000FD000000}"/>
            </a:ext>
          </a:extLst>
        </xdr:cNvPr>
        <xdr:cNvSpPr txBox="1"/>
      </xdr:nvSpPr>
      <xdr:spPr>
        <a:xfrm>
          <a:off x="20269200" y="22574250"/>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254" name="TextBox 253">
          <a:extLst>
            <a:ext uri="{FF2B5EF4-FFF2-40B4-BE49-F238E27FC236}">
              <a16:creationId xmlns:a16="http://schemas.microsoft.com/office/drawing/2014/main" id="{00000000-0008-0000-0200-0000FE000000}"/>
            </a:ext>
          </a:extLst>
        </xdr:cNvPr>
        <xdr:cNvSpPr txBox="1"/>
      </xdr:nvSpPr>
      <xdr:spPr>
        <a:xfrm>
          <a:off x="20269200" y="2257425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731221"/>
    <xdr:sp macro="" textlink="">
      <xdr:nvSpPr>
        <xdr:cNvPr id="255" name="TextBox 254">
          <a:extLst>
            <a:ext uri="{FF2B5EF4-FFF2-40B4-BE49-F238E27FC236}">
              <a16:creationId xmlns:a16="http://schemas.microsoft.com/office/drawing/2014/main" id="{00000000-0008-0000-0200-0000FF000000}"/>
            </a:ext>
          </a:extLst>
        </xdr:cNvPr>
        <xdr:cNvSpPr txBox="1"/>
      </xdr:nvSpPr>
      <xdr:spPr>
        <a:xfrm>
          <a:off x="20269200" y="18202275"/>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256" name="TextBox 255">
          <a:extLst>
            <a:ext uri="{FF2B5EF4-FFF2-40B4-BE49-F238E27FC236}">
              <a16:creationId xmlns:a16="http://schemas.microsoft.com/office/drawing/2014/main" id="{00000000-0008-0000-0200-000000010000}"/>
            </a:ext>
          </a:extLst>
        </xdr:cNvPr>
        <xdr:cNvSpPr txBox="1"/>
      </xdr:nvSpPr>
      <xdr:spPr>
        <a:xfrm>
          <a:off x="20269200" y="2257425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4833" cy="1662119"/>
    <xdr:sp macro="" textlink="">
      <xdr:nvSpPr>
        <xdr:cNvPr id="257" name="TextBox 256">
          <a:extLst>
            <a:ext uri="{FF2B5EF4-FFF2-40B4-BE49-F238E27FC236}">
              <a16:creationId xmlns:a16="http://schemas.microsoft.com/office/drawing/2014/main" id="{00000000-0008-0000-0200-000001010000}"/>
            </a:ext>
          </a:extLst>
        </xdr:cNvPr>
        <xdr:cNvSpPr txBox="1"/>
      </xdr:nvSpPr>
      <xdr:spPr>
        <a:xfrm>
          <a:off x="20269200" y="22574250"/>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731221"/>
    <xdr:sp macro="" textlink="">
      <xdr:nvSpPr>
        <xdr:cNvPr id="258" name="TextBox 257">
          <a:extLst>
            <a:ext uri="{FF2B5EF4-FFF2-40B4-BE49-F238E27FC236}">
              <a16:creationId xmlns:a16="http://schemas.microsoft.com/office/drawing/2014/main" id="{00000000-0008-0000-0200-000002010000}"/>
            </a:ext>
          </a:extLst>
        </xdr:cNvPr>
        <xdr:cNvSpPr txBox="1"/>
      </xdr:nvSpPr>
      <xdr:spPr>
        <a:xfrm>
          <a:off x="20269200" y="18202275"/>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119"/>
    <xdr:sp macro="" textlink="">
      <xdr:nvSpPr>
        <xdr:cNvPr id="259" name="TextBox 258">
          <a:extLst>
            <a:ext uri="{FF2B5EF4-FFF2-40B4-BE49-F238E27FC236}">
              <a16:creationId xmlns:a16="http://schemas.microsoft.com/office/drawing/2014/main" id="{00000000-0008-0000-0200-000003010000}"/>
            </a:ext>
          </a:extLst>
        </xdr:cNvPr>
        <xdr:cNvSpPr txBox="1"/>
      </xdr:nvSpPr>
      <xdr:spPr>
        <a:xfrm>
          <a:off x="20269200" y="22574250"/>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877" cy="1662343"/>
    <xdr:sp macro="" textlink="">
      <xdr:nvSpPr>
        <xdr:cNvPr id="260" name="TextBox 259">
          <a:extLst>
            <a:ext uri="{FF2B5EF4-FFF2-40B4-BE49-F238E27FC236}">
              <a16:creationId xmlns:a16="http://schemas.microsoft.com/office/drawing/2014/main" id="{00000000-0008-0000-0200-000004010000}"/>
            </a:ext>
          </a:extLst>
        </xdr:cNvPr>
        <xdr:cNvSpPr txBox="1"/>
      </xdr:nvSpPr>
      <xdr:spPr>
        <a:xfrm>
          <a:off x="20269200" y="26412825"/>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343"/>
    <xdr:sp macro="" textlink="">
      <xdr:nvSpPr>
        <xdr:cNvPr id="261" name="TextBox 260">
          <a:extLst>
            <a:ext uri="{FF2B5EF4-FFF2-40B4-BE49-F238E27FC236}">
              <a16:creationId xmlns:a16="http://schemas.microsoft.com/office/drawing/2014/main" id="{00000000-0008-0000-0200-000005010000}"/>
            </a:ext>
          </a:extLst>
        </xdr:cNvPr>
        <xdr:cNvSpPr txBox="1"/>
      </xdr:nvSpPr>
      <xdr:spPr>
        <a:xfrm>
          <a:off x="20269200" y="26412825"/>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343"/>
    <xdr:sp macro="" textlink="">
      <xdr:nvSpPr>
        <xdr:cNvPr id="262" name="TextBox 261">
          <a:extLst>
            <a:ext uri="{FF2B5EF4-FFF2-40B4-BE49-F238E27FC236}">
              <a16:creationId xmlns:a16="http://schemas.microsoft.com/office/drawing/2014/main" id="{00000000-0008-0000-0200-000006010000}"/>
            </a:ext>
          </a:extLst>
        </xdr:cNvPr>
        <xdr:cNvSpPr txBox="1"/>
      </xdr:nvSpPr>
      <xdr:spPr>
        <a:xfrm>
          <a:off x="20269200" y="26412825"/>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934"/>
    <xdr:sp macro="" textlink="">
      <xdr:nvSpPr>
        <xdr:cNvPr id="263" name="TextBox 262">
          <a:extLst>
            <a:ext uri="{FF2B5EF4-FFF2-40B4-BE49-F238E27FC236}">
              <a16:creationId xmlns:a16="http://schemas.microsoft.com/office/drawing/2014/main" id="{00000000-0008-0000-0200-000007010000}"/>
            </a:ext>
          </a:extLst>
        </xdr:cNvPr>
        <xdr:cNvSpPr txBox="1"/>
      </xdr:nvSpPr>
      <xdr:spPr>
        <a:xfrm>
          <a:off x="20269200" y="22574250"/>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742770"/>
    <xdr:sp macro="" textlink="">
      <xdr:nvSpPr>
        <xdr:cNvPr id="264" name="TextBox 263">
          <a:extLst>
            <a:ext uri="{FF2B5EF4-FFF2-40B4-BE49-F238E27FC236}">
              <a16:creationId xmlns:a16="http://schemas.microsoft.com/office/drawing/2014/main" id="{00000000-0008-0000-0200-000008010000}"/>
            </a:ext>
          </a:extLst>
        </xdr:cNvPr>
        <xdr:cNvSpPr txBox="1"/>
      </xdr:nvSpPr>
      <xdr:spPr>
        <a:xfrm>
          <a:off x="20269200" y="18202275"/>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831"/>
    <xdr:sp macro="" textlink="">
      <xdr:nvSpPr>
        <xdr:cNvPr id="265" name="TextBox 264">
          <a:extLst>
            <a:ext uri="{FF2B5EF4-FFF2-40B4-BE49-F238E27FC236}">
              <a16:creationId xmlns:a16="http://schemas.microsoft.com/office/drawing/2014/main" id="{00000000-0008-0000-0200-000009010000}"/>
            </a:ext>
          </a:extLst>
        </xdr:cNvPr>
        <xdr:cNvSpPr txBox="1"/>
      </xdr:nvSpPr>
      <xdr:spPr>
        <a:xfrm>
          <a:off x="20269200" y="22574250"/>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5023"/>
    <xdr:sp macro="" textlink="">
      <xdr:nvSpPr>
        <xdr:cNvPr id="266" name="TextBox 265">
          <a:extLst>
            <a:ext uri="{FF2B5EF4-FFF2-40B4-BE49-F238E27FC236}">
              <a16:creationId xmlns:a16="http://schemas.microsoft.com/office/drawing/2014/main" id="{00000000-0008-0000-0200-00000A010000}"/>
            </a:ext>
          </a:extLst>
        </xdr:cNvPr>
        <xdr:cNvSpPr txBox="1"/>
      </xdr:nvSpPr>
      <xdr:spPr>
        <a:xfrm>
          <a:off x="20269200" y="22574250"/>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717993"/>
    <xdr:sp macro="" textlink="">
      <xdr:nvSpPr>
        <xdr:cNvPr id="267" name="TextBox 266">
          <a:extLst>
            <a:ext uri="{FF2B5EF4-FFF2-40B4-BE49-F238E27FC236}">
              <a16:creationId xmlns:a16="http://schemas.microsoft.com/office/drawing/2014/main" id="{00000000-0008-0000-0200-00000B010000}"/>
            </a:ext>
          </a:extLst>
        </xdr:cNvPr>
        <xdr:cNvSpPr txBox="1"/>
      </xdr:nvSpPr>
      <xdr:spPr>
        <a:xfrm>
          <a:off x="20269200" y="18202275"/>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4935"/>
    <xdr:sp macro="" textlink="">
      <xdr:nvSpPr>
        <xdr:cNvPr id="268" name="TextBox 267">
          <a:extLst>
            <a:ext uri="{FF2B5EF4-FFF2-40B4-BE49-F238E27FC236}">
              <a16:creationId xmlns:a16="http://schemas.microsoft.com/office/drawing/2014/main" id="{00000000-0008-0000-0200-00000C010000}"/>
            </a:ext>
          </a:extLst>
        </xdr:cNvPr>
        <xdr:cNvSpPr txBox="1"/>
      </xdr:nvSpPr>
      <xdr:spPr>
        <a:xfrm>
          <a:off x="20269200" y="22574250"/>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4773" cy="1434935"/>
    <xdr:sp macro="" textlink="">
      <xdr:nvSpPr>
        <xdr:cNvPr id="269" name="TextBox 268">
          <a:extLst>
            <a:ext uri="{FF2B5EF4-FFF2-40B4-BE49-F238E27FC236}">
              <a16:creationId xmlns:a16="http://schemas.microsoft.com/office/drawing/2014/main" id="{00000000-0008-0000-0200-00000D010000}"/>
            </a:ext>
          </a:extLst>
        </xdr:cNvPr>
        <xdr:cNvSpPr txBox="1"/>
      </xdr:nvSpPr>
      <xdr:spPr>
        <a:xfrm>
          <a:off x="20269200" y="22574250"/>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270" name="TextBox 269">
          <a:extLst>
            <a:ext uri="{FF2B5EF4-FFF2-40B4-BE49-F238E27FC236}">
              <a16:creationId xmlns:a16="http://schemas.microsoft.com/office/drawing/2014/main" id="{00000000-0008-0000-0200-00000E010000}"/>
            </a:ext>
          </a:extLst>
        </xdr:cNvPr>
        <xdr:cNvSpPr txBox="1"/>
      </xdr:nvSpPr>
      <xdr:spPr>
        <a:xfrm>
          <a:off x="20269200" y="2257425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271" name="TextBox 270">
          <a:extLst>
            <a:ext uri="{FF2B5EF4-FFF2-40B4-BE49-F238E27FC236}">
              <a16:creationId xmlns:a16="http://schemas.microsoft.com/office/drawing/2014/main" id="{00000000-0008-0000-0200-00000F010000}"/>
            </a:ext>
          </a:extLst>
        </xdr:cNvPr>
        <xdr:cNvSpPr txBox="1"/>
      </xdr:nvSpPr>
      <xdr:spPr>
        <a:xfrm>
          <a:off x="20269200" y="182022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272" name="TextBox 271">
          <a:extLst>
            <a:ext uri="{FF2B5EF4-FFF2-40B4-BE49-F238E27FC236}">
              <a16:creationId xmlns:a16="http://schemas.microsoft.com/office/drawing/2014/main" id="{00000000-0008-0000-0200-000010010000}"/>
            </a:ext>
          </a:extLst>
        </xdr:cNvPr>
        <xdr:cNvSpPr txBox="1"/>
      </xdr:nvSpPr>
      <xdr:spPr>
        <a:xfrm>
          <a:off x="20269200" y="2257425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273" name="TextBox 272">
          <a:extLst>
            <a:ext uri="{FF2B5EF4-FFF2-40B4-BE49-F238E27FC236}">
              <a16:creationId xmlns:a16="http://schemas.microsoft.com/office/drawing/2014/main" id="{00000000-0008-0000-0200-000011010000}"/>
            </a:ext>
          </a:extLst>
        </xdr:cNvPr>
        <xdr:cNvSpPr txBox="1"/>
      </xdr:nvSpPr>
      <xdr:spPr>
        <a:xfrm>
          <a:off x="20269200" y="2257425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274" name="TextBox 273">
          <a:extLst>
            <a:ext uri="{FF2B5EF4-FFF2-40B4-BE49-F238E27FC236}">
              <a16:creationId xmlns:a16="http://schemas.microsoft.com/office/drawing/2014/main" id="{00000000-0008-0000-0200-000012010000}"/>
            </a:ext>
          </a:extLst>
        </xdr:cNvPr>
        <xdr:cNvSpPr txBox="1"/>
      </xdr:nvSpPr>
      <xdr:spPr>
        <a:xfrm>
          <a:off x="20269200" y="182022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275" name="TextBox 274">
          <a:extLst>
            <a:ext uri="{FF2B5EF4-FFF2-40B4-BE49-F238E27FC236}">
              <a16:creationId xmlns:a16="http://schemas.microsoft.com/office/drawing/2014/main" id="{00000000-0008-0000-0200-000013010000}"/>
            </a:ext>
          </a:extLst>
        </xdr:cNvPr>
        <xdr:cNvSpPr txBox="1"/>
      </xdr:nvSpPr>
      <xdr:spPr>
        <a:xfrm>
          <a:off x="20269200" y="2257425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276" name="TextBox 275">
          <a:extLst>
            <a:ext uri="{FF2B5EF4-FFF2-40B4-BE49-F238E27FC236}">
              <a16:creationId xmlns:a16="http://schemas.microsoft.com/office/drawing/2014/main" id="{00000000-0008-0000-0200-000014010000}"/>
            </a:ext>
          </a:extLst>
        </xdr:cNvPr>
        <xdr:cNvSpPr txBox="1"/>
      </xdr:nvSpPr>
      <xdr:spPr>
        <a:xfrm>
          <a:off x="20269200" y="2257425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277" name="TextBox 276">
          <a:extLst>
            <a:ext uri="{FF2B5EF4-FFF2-40B4-BE49-F238E27FC236}">
              <a16:creationId xmlns:a16="http://schemas.microsoft.com/office/drawing/2014/main" id="{00000000-0008-0000-0200-000015010000}"/>
            </a:ext>
          </a:extLst>
        </xdr:cNvPr>
        <xdr:cNvSpPr txBox="1"/>
      </xdr:nvSpPr>
      <xdr:spPr>
        <a:xfrm>
          <a:off x="20269200" y="2257425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746347"/>
    <xdr:sp macro="" textlink="">
      <xdr:nvSpPr>
        <xdr:cNvPr id="278" name="TextBox 277">
          <a:extLst>
            <a:ext uri="{FF2B5EF4-FFF2-40B4-BE49-F238E27FC236}">
              <a16:creationId xmlns:a16="http://schemas.microsoft.com/office/drawing/2014/main" id="{00000000-0008-0000-0200-000016010000}"/>
            </a:ext>
          </a:extLst>
        </xdr:cNvPr>
        <xdr:cNvSpPr txBox="1"/>
      </xdr:nvSpPr>
      <xdr:spPr>
        <a:xfrm>
          <a:off x="20269200" y="18202275"/>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661857"/>
    <xdr:sp macro="" textlink="">
      <xdr:nvSpPr>
        <xdr:cNvPr id="279" name="TextBox 278">
          <a:extLst>
            <a:ext uri="{FF2B5EF4-FFF2-40B4-BE49-F238E27FC236}">
              <a16:creationId xmlns:a16="http://schemas.microsoft.com/office/drawing/2014/main" id="{00000000-0008-0000-0200-000017010000}"/>
            </a:ext>
          </a:extLst>
        </xdr:cNvPr>
        <xdr:cNvSpPr txBox="1"/>
      </xdr:nvSpPr>
      <xdr:spPr>
        <a:xfrm>
          <a:off x="20269200" y="22574250"/>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178" cy="1661857"/>
    <xdr:sp macro="" textlink="">
      <xdr:nvSpPr>
        <xdr:cNvPr id="280" name="TextBox 279">
          <a:extLst>
            <a:ext uri="{FF2B5EF4-FFF2-40B4-BE49-F238E27FC236}">
              <a16:creationId xmlns:a16="http://schemas.microsoft.com/office/drawing/2014/main" id="{00000000-0008-0000-0200-000018010000}"/>
            </a:ext>
          </a:extLst>
        </xdr:cNvPr>
        <xdr:cNvSpPr txBox="1"/>
      </xdr:nvSpPr>
      <xdr:spPr>
        <a:xfrm>
          <a:off x="20269200" y="22574250"/>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9642" cy="1678802"/>
    <xdr:sp macro="" textlink="">
      <xdr:nvSpPr>
        <xdr:cNvPr id="281" name="TextBox 280">
          <a:extLst>
            <a:ext uri="{FF2B5EF4-FFF2-40B4-BE49-F238E27FC236}">
              <a16:creationId xmlns:a16="http://schemas.microsoft.com/office/drawing/2014/main" id="{00000000-0008-0000-0200-000019010000}"/>
            </a:ext>
          </a:extLst>
        </xdr:cNvPr>
        <xdr:cNvSpPr txBox="1"/>
      </xdr:nvSpPr>
      <xdr:spPr>
        <a:xfrm>
          <a:off x="20269200" y="26412825"/>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419"/>
    <xdr:sp macro="" textlink="">
      <xdr:nvSpPr>
        <xdr:cNvPr id="282" name="TextBox 281">
          <a:extLst>
            <a:ext uri="{FF2B5EF4-FFF2-40B4-BE49-F238E27FC236}">
              <a16:creationId xmlns:a16="http://schemas.microsoft.com/office/drawing/2014/main" id="{00000000-0008-0000-0200-00001A010000}"/>
            </a:ext>
          </a:extLst>
        </xdr:cNvPr>
        <xdr:cNvSpPr txBox="1"/>
      </xdr:nvSpPr>
      <xdr:spPr>
        <a:xfrm>
          <a:off x="20269200" y="22574250"/>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759058"/>
    <xdr:sp macro="" textlink="">
      <xdr:nvSpPr>
        <xdr:cNvPr id="283" name="TextBox 282">
          <a:extLst>
            <a:ext uri="{FF2B5EF4-FFF2-40B4-BE49-F238E27FC236}">
              <a16:creationId xmlns:a16="http://schemas.microsoft.com/office/drawing/2014/main" id="{00000000-0008-0000-0200-00001B010000}"/>
            </a:ext>
          </a:extLst>
        </xdr:cNvPr>
        <xdr:cNvSpPr txBox="1"/>
      </xdr:nvSpPr>
      <xdr:spPr>
        <a:xfrm>
          <a:off x="20269200" y="18202275"/>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316"/>
    <xdr:sp macro="" textlink="">
      <xdr:nvSpPr>
        <xdr:cNvPr id="284" name="TextBox 283">
          <a:extLst>
            <a:ext uri="{FF2B5EF4-FFF2-40B4-BE49-F238E27FC236}">
              <a16:creationId xmlns:a16="http://schemas.microsoft.com/office/drawing/2014/main" id="{00000000-0008-0000-0200-00001C010000}"/>
            </a:ext>
          </a:extLst>
        </xdr:cNvPr>
        <xdr:cNvSpPr txBox="1"/>
      </xdr:nvSpPr>
      <xdr:spPr>
        <a:xfrm>
          <a:off x="20269200" y="22574250"/>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21" cy="1650316"/>
    <xdr:sp macro="" textlink="">
      <xdr:nvSpPr>
        <xdr:cNvPr id="285" name="TextBox 284">
          <a:extLst>
            <a:ext uri="{FF2B5EF4-FFF2-40B4-BE49-F238E27FC236}">
              <a16:creationId xmlns:a16="http://schemas.microsoft.com/office/drawing/2014/main" id="{00000000-0008-0000-0200-00001D010000}"/>
            </a:ext>
          </a:extLst>
        </xdr:cNvPr>
        <xdr:cNvSpPr txBox="1"/>
      </xdr:nvSpPr>
      <xdr:spPr>
        <a:xfrm>
          <a:off x="20269200" y="22574250"/>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286" name="TextBox 285">
          <a:extLst>
            <a:ext uri="{FF2B5EF4-FFF2-40B4-BE49-F238E27FC236}">
              <a16:creationId xmlns:a16="http://schemas.microsoft.com/office/drawing/2014/main" id="{00000000-0008-0000-0200-00001E010000}"/>
            </a:ext>
          </a:extLst>
        </xdr:cNvPr>
        <xdr:cNvSpPr txBox="1"/>
      </xdr:nvSpPr>
      <xdr:spPr>
        <a:xfrm>
          <a:off x="20269200" y="2257425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287" name="TextBox 286">
          <a:extLst>
            <a:ext uri="{FF2B5EF4-FFF2-40B4-BE49-F238E27FC236}">
              <a16:creationId xmlns:a16="http://schemas.microsoft.com/office/drawing/2014/main" id="{00000000-0008-0000-0200-00001F010000}"/>
            </a:ext>
          </a:extLst>
        </xdr:cNvPr>
        <xdr:cNvSpPr txBox="1"/>
      </xdr:nvSpPr>
      <xdr:spPr>
        <a:xfrm>
          <a:off x="20269200" y="2641282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288" name="TextBox 287">
          <a:extLst>
            <a:ext uri="{FF2B5EF4-FFF2-40B4-BE49-F238E27FC236}">
              <a16:creationId xmlns:a16="http://schemas.microsoft.com/office/drawing/2014/main" id="{00000000-0008-0000-0200-000020010000}"/>
            </a:ext>
          </a:extLst>
        </xdr:cNvPr>
        <xdr:cNvSpPr txBox="1"/>
      </xdr:nvSpPr>
      <xdr:spPr>
        <a:xfrm>
          <a:off x="20269200" y="2641282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2021"/>
    <xdr:sp macro="" textlink="">
      <xdr:nvSpPr>
        <xdr:cNvPr id="289" name="TextBox 288">
          <a:extLst>
            <a:ext uri="{FF2B5EF4-FFF2-40B4-BE49-F238E27FC236}">
              <a16:creationId xmlns:a16="http://schemas.microsoft.com/office/drawing/2014/main" id="{00000000-0008-0000-0200-000021010000}"/>
            </a:ext>
          </a:extLst>
        </xdr:cNvPr>
        <xdr:cNvSpPr txBox="1"/>
      </xdr:nvSpPr>
      <xdr:spPr>
        <a:xfrm>
          <a:off x="20269200" y="22574250"/>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748948"/>
    <xdr:sp macro="" textlink="">
      <xdr:nvSpPr>
        <xdr:cNvPr id="290" name="TextBox 289">
          <a:extLst>
            <a:ext uri="{FF2B5EF4-FFF2-40B4-BE49-F238E27FC236}">
              <a16:creationId xmlns:a16="http://schemas.microsoft.com/office/drawing/2014/main" id="{00000000-0008-0000-0200-000022010000}"/>
            </a:ext>
          </a:extLst>
        </xdr:cNvPr>
        <xdr:cNvSpPr txBox="1"/>
      </xdr:nvSpPr>
      <xdr:spPr>
        <a:xfrm>
          <a:off x="20269200" y="18202275"/>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1918"/>
    <xdr:sp macro="" textlink="">
      <xdr:nvSpPr>
        <xdr:cNvPr id="291" name="TextBox 290">
          <a:extLst>
            <a:ext uri="{FF2B5EF4-FFF2-40B4-BE49-F238E27FC236}">
              <a16:creationId xmlns:a16="http://schemas.microsoft.com/office/drawing/2014/main" id="{00000000-0008-0000-0200-000023010000}"/>
            </a:ext>
          </a:extLst>
        </xdr:cNvPr>
        <xdr:cNvSpPr txBox="1"/>
      </xdr:nvSpPr>
      <xdr:spPr>
        <a:xfrm>
          <a:off x="20269200" y="22574250"/>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5265" cy="1661918"/>
    <xdr:sp macro="" textlink="">
      <xdr:nvSpPr>
        <xdr:cNvPr id="292" name="TextBox 291">
          <a:extLst>
            <a:ext uri="{FF2B5EF4-FFF2-40B4-BE49-F238E27FC236}">
              <a16:creationId xmlns:a16="http://schemas.microsoft.com/office/drawing/2014/main" id="{00000000-0008-0000-0200-000024010000}"/>
            </a:ext>
          </a:extLst>
        </xdr:cNvPr>
        <xdr:cNvSpPr txBox="1"/>
      </xdr:nvSpPr>
      <xdr:spPr>
        <a:xfrm>
          <a:off x="20269200" y="22574250"/>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945" cy="1661918"/>
    <xdr:sp macro="" textlink="">
      <xdr:nvSpPr>
        <xdr:cNvPr id="293" name="TextBox 292">
          <a:extLst>
            <a:ext uri="{FF2B5EF4-FFF2-40B4-BE49-F238E27FC236}">
              <a16:creationId xmlns:a16="http://schemas.microsoft.com/office/drawing/2014/main" id="{00000000-0008-0000-0200-000025010000}"/>
            </a:ext>
          </a:extLst>
        </xdr:cNvPr>
        <xdr:cNvSpPr txBox="1"/>
      </xdr:nvSpPr>
      <xdr:spPr>
        <a:xfrm>
          <a:off x="20269200" y="22574250"/>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2021"/>
    <xdr:sp macro="" textlink="">
      <xdr:nvSpPr>
        <xdr:cNvPr id="294" name="TextBox 293">
          <a:extLst>
            <a:ext uri="{FF2B5EF4-FFF2-40B4-BE49-F238E27FC236}">
              <a16:creationId xmlns:a16="http://schemas.microsoft.com/office/drawing/2014/main" id="{00000000-0008-0000-0200-000026010000}"/>
            </a:ext>
          </a:extLst>
        </xdr:cNvPr>
        <xdr:cNvSpPr txBox="1"/>
      </xdr:nvSpPr>
      <xdr:spPr>
        <a:xfrm>
          <a:off x="20269200" y="22574250"/>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748948"/>
    <xdr:sp macro="" textlink="">
      <xdr:nvSpPr>
        <xdr:cNvPr id="295" name="TextBox 294">
          <a:extLst>
            <a:ext uri="{FF2B5EF4-FFF2-40B4-BE49-F238E27FC236}">
              <a16:creationId xmlns:a16="http://schemas.microsoft.com/office/drawing/2014/main" id="{00000000-0008-0000-0200-000027010000}"/>
            </a:ext>
          </a:extLst>
        </xdr:cNvPr>
        <xdr:cNvSpPr txBox="1"/>
      </xdr:nvSpPr>
      <xdr:spPr>
        <a:xfrm>
          <a:off x="20269200" y="18202275"/>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1918"/>
    <xdr:sp macro="" textlink="">
      <xdr:nvSpPr>
        <xdr:cNvPr id="296" name="TextBox 295">
          <a:extLst>
            <a:ext uri="{FF2B5EF4-FFF2-40B4-BE49-F238E27FC236}">
              <a16:creationId xmlns:a16="http://schemas.microsoft.com/office/drawing/2014/main" id="{00000000-0008-0000-0200-000028010000}"/>
            </a:ext>
          </a:extLst>
        </xdr:cNvPr>
        <xdr:cNvSpPr txBox="1"/>
      </xdr:nvSpPr>
      <xdr:spPr>
        <a:xfrm>
          <a:off x="20269200" y="22574250"/>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297" name="TextBox 296">
          <a:extLst>
            <a:ext uri="{FF2B5EF4-FFF2-40B4-BE49-F238E27FC236}">
              <a16:creationId xmlns:a16="http://schemas.microsoft.com/office/drawing/2014/main" id="{00000000-0008-0000-0200-000029010000}"/>
            </a:ext>
          </a:extLst>
        </xdr:cNvPr>
        <xdr:cNvSpPr txBox="1"/>
      </xdr:nvSpPr>
      <xdr:spPr>
        <a:xfrm>
          <a:off x="20269200" y="2257425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746584"/>
    <xdr:sp macro="" textlink="">
      <xdr:nvSpPr>
        <xdr:cNvPr id="298" name="TextBox 297">
          <a:extLst>
            <a:ext uri="{FF2B5EF4-FFF2-40B4-BE49-F238E27FC236}">
              <a16:creationId xmlns:a16="http://schemas.microsoft.com/office/drawing/2014/main" id="{00000000-0008-0000-0200-00002A010000}"/>
            </a:ext>
          </a:extLst>
        </xdr:cNvPr>
        <xdr:cNvSpPr txBox="1"/>
      </xdr:nvSpPr>
      <xdr:spPr>
        <a:xfrm>
          <a:off x="20269200" y="18202275"/>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661918"/>
    <xdr:sp macro="" textlink="">
      <xdr:nvSpPr>
        <xdr:cNvPr id="299" name="TextBox 298">
          <a:extLst>
            <a:ext uri="{FF2B5EF4-FFF2-40B4-BE49-F238E27FC236}">
              <a16:creationId xmlns:a16="http://schemas.microsoft.com/office/drawing/2014/main" id="{00000000-0008-0000-0200-00002B010000}"/>
            </a:ext>
          </a:extLst>
        </xdr:cNvPr>
        <xdr:cNvSpPr txBox="1"/>
      </xdr:nvSpPr>
      <xdr:spPr>
        <a:xfrm>
          <a:off x="20269200" y="22574250"/>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00147" cy="1661918"/>
    <xdr:sp macro="" textlink="">
      <xdr:nvSpPr>
        <xdr:cNvPr id="300" name="TextBox 299">
          <a:extLst>
            <a:ext uri="{FF2B5EF4-FFF2-40B4-BE49-F238E27FC236}">
              <a16:creationId xmlns:a16="http://schemas.microsoft.com/office/drawing/2014/main" id="{00000000-0008-0000-0200-00002C010000}"/>
            </a:ext>
          </a:extLst>
        </xdr:cNvPr>
        <xdr:cNvSpPr txBox="1"/>
      </xdr:nvSpPr>
      <xdr:spPr>
        <a:xfrm>
          <a:off x="20269200" y="22574250"/>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592" cy="1661918"/>
    <xdr:sp macro="" textlink="">
      <xdr:nvSpPr>
        <xdr:cNvPr id="301" name="TextBox 300">
          <a:extLst>
            <a:ext uri="{FF2B5EF4-FFF2-40B4-BE49-F238E27FC236}">
              <a16:creationId xmlns:a16="http://schemas.microsoft.com/office/drawing/2014/main" id="{00000000-0008-0000-0200-00002D010000}"/>
            </a:ext>
          </a:extLst>
        </xdr:cNvPr>
        <xdr:cNvSpPr txBox="1"/>
      </xdr:nvSpPr>
      <xdr:spPr>
        <a:xfrm>
          <a:off x="20269200" y="22574250"/>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746584"/>
    <xdr:sp macro="" textlink="">
      <xdr:nvSpPr>
        <xdr:cNvPr id="302" name="TextBox 301">
          <a:extLst>
            <a:ext uri="{FF2B5EF4-FFF2-40B4-BE49-F238E27FC236}">
              <a16:creationId xmlns:a16="http://schemas.microsoft.com/office/drawing/2014/main" id="{00000000-0008-0000-0200-00002E010000}"/>
            </a:ext>
          </a:extLst>
        </xdr:cNvPr>
        <xdr:cNvSpPr txBox="1"/>
      </xdr:nvSpPr>
      <xdr:spPr>
        <a:xfrm>
          <a:off x="20269200" y="18202275"/>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661918"/>
    <xdr:sp macro="" textlink="">
      <xdr:nvSpPr>
        <xdr:cNvPr id="303" name="TextBox 302">
          <a:extLst>
            <a:ext uri="{FF2B5EF4-FFF2-40B4-BE49-F238E27FC236}">
              <a16:creationId xmlns:a16="http://schemas.microsoft.com/office/drawing/2014/main" id="{00000000-0008-0000-0200-00002F010000}"/>
            </a:ext>
          </a:extLst>
        </xdr:cNvPr>
        <xdr:cNvSpPr txBox="1"/>
      </xdr:nvSpPr>
      <xdr:spPr>
        <a:xfrm>
          <a:off x="20269200" y="22574250"/>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304" name="TextBox 303">
          <a:extLst>
            <a:ext uri="{FF2B5EF4-FFF2-40B4-BE49-F238E27FC236}">
              <a16:creationId xmlns:a16="http://schemas.microsoft.com/office/drawing/2014/main" id="{00000000-0008-0000-0200-000030010000}"/>
            </a:ext>
          </a:extLst>
        </xdr:cNvPr>
        <xdr:cNvSpPr txBox="1"/>
      </xdr:nvSpPr>
      <xdr:spPr>
        <a:xfrm>
          <a:off x="20269200" y="2641282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305" name="TextBox 304">
          <a:extLst>
            <a:ext uri="{FF2B5EF4-FFF2-40B4-BE49-F238E27FC236}">
              <a16:creationId xmlns:a16="http://schemas.microsoft.com/office/drawing/2014/main" id="{00000000-0008-0000-0200-000031010000}"/>
            </a:ext>
          </a:extLst>
        </xdr:cNvPr>
        <xdr:cNvSpPr txBox="1"/>
      </xdr:nvSpPr>
      <xdr:spPr>
        <a:xfrm>
          <a:off x="20269200" y="2641282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683569"/>
    <xdr:sp macro="" textlink="">
      <xdr:nvSpPr>
        <xdr:cNvPr id="306" name="TextBox 305">
          <a:extLst>
            <a:ext uri="{FF2B5EF4-FFF2-40B4-BE49-F238E27FC236}">
              <a16:creationId xmlns:a16="http://schemas.microsoft.com/office/drawing/2014/main" id="{00000000-0008-0000-0200-000032010000}"/>
            </a:ext>
          </a:extLst>
        </xdr:cNvPr>
        <xdr:cNvSpPr txBox="1"/>
      </xdr:nvSpPr>
      <xdr:spPr>
        <a:xfrm>
          <a:off x="20269200" y="22574250"/>
          <a:ext cx="3529844" cy="168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744986"/>
    <xdr:sp macro="" textlink="">
      <xdr:nvSpPr>
        <xdr:cNvPr id="307" name="TextBox 306">
          <a:extLst>
            <a:ext uri="{FF2B5EF4-FFF2-40B4-BE49-F238E27FC236}">
              <a16:creationId xmlns:a16="http://schemas.microsoft.com/office/drawing/2014/main" id="{00000000-0008-0000-0200-000033010000}"/>
            </a:ext>
          </a:extLst>
        </xdr:cNvPr>
        <xdr:cNvSpPr txBox="1"/>
      </xdr:nvSpPr>
      <xdr:spPr>
        <a:xfrm>
          <a:off x="20269200" y="18202275"/>
          <a:ext cx="3529844" cy="1744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676302"/>
    <xdr:sp macro="" textlink="">
      <xdr:nvSpPr>
        <xdr:cNvPr id="308" name="TextBox 307">
          <a:extLst>
            <a:ext uri="{FF2B5EF4-FFF2-40B4-BE49-F238E27FC236}">
              <a16:creationId xmlns:a16="http://schemas.microsoft.com/office/drawing/2014/main" id="{00000000-0008-0000-0200-000034010000}"/>
            </a:ext>
          </a:extLst>
        </xdr:cNvPr>
        <xdr:cNvSpPr txBox="1"/>
      </xdr:nvSpPr>
      <xdr:spPr>
        <a:xfrm>
          <a:off x="20269200" y="22574250"/>
          <a:ext cx="3529844"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309" name="TextBox 308">
          <a:extLst>
            <a:ext uri="{FF2B5EF4-FFF2-40B4-BE49-F238E27FC236}">
              <a16:creationId xmlns:a16="http://schemas.microsoft.com/office/drawing/2014/main" id="{00000000-0008-0000-0200-00003501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42629"/>
    <xdr:sp macro="" textlink="">
      <xdr:nvSpPr>
        <xdr:cNvPr id="310" name="TextBox 309">
          <a:extLst>
            <a:ext uri="{FF2B5EF4-FFF2-40B4-BE49-F238E27FC236}">
              <a16:creationId xmlns:a16="http://schemas.microsoft.com/office/drawing/2014/main" id="{00000000-0008-0000-0200-000036010000}"/>
            </a:ext>
          </a:extLst>
        </xdr:cNvPr>
        <xdr:cNvSpPr txBox="1"/>
      </xdr:nvSpPr>
      <xdr:spPr>
        <a:xfrm>
          <a:off x="20269200" y="18202275"/>
          <a:ext cx="3542843"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676302"/>
    <xdr:sp macro="" textlink="">
      <xdr:nvSpPr>
        <xdr:cNvPr id="311" name="TextBox 310">
          <a:extLst>
            <a:ext uri="{FF2B5EF4-FFF2-40B4-BE49-F238E27FC236}">
              <a16:creationId xmlns:a16="http://schemas.microsoft.com/office/drawing/2014/main" id="{00000000-0008-0000-0200-000037010000}"/>
            </a:ext>
          </a:extLst>
        </xdr:cNvPr>
        <xdr:cNvSpPr txBox="1"/>
      </xdr:nvSpPr>
      <xdr:spPr>
        <a:xfrm>
          <a:off x="20269200" y="22574250"/>
          <a:ext cx="354284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312" name="TextBox 311">
          <a:extLst>
            <a:ext uri="{FF2B5EF4-FFF2-40B4-BE49-F238E27FC236}">
              <a16:creationId xmlns:a16="http://schemas.microsoft.com/office/drawing/2014/main" id="{00000000-0008-0000-0200-00003801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313" name="TextBox 312">
          <a:extLst>
            <a:ext uri="{FF2B5EF4-FFF2-40B4-BE49-F238E27FC236}">
              <a16:creationId xmlns:a16="http://schemas.microsoft.com/office/drawing/2014/main" id="{00000000-0008-0000-0200-000039010000}"/>
            </a:ext>
          </a:extLst>
        </xdr:cNvPr>
        <xdr:cNvSpPr txBox="1"/>
      </xdr:nvSpPr>
      <xdr:spPr>
        <a:xfrm>
          <a:off x="20269200" y="182022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314" name="TextBox 313">
          <a:extLst>
            <a:ext uri="{FF2B5EF4-FFF2-40B4-BE49-F238E27FC236}">
              <a16:creationId xmlns:a16="http://schemas.microsoft.com/office/drawing/2014/main" id="{00000000-0008-0000-0200-00003A01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1363" cy="1676302"/>
    <xdr:sp macro="" textlink="">
      <xdr:nvSpPr>
        <xdr:cNvPr id="315" name="TextBox 314">
          <a:extLst>
            <a:ext uri="{FF2B5EF4-FFF2-40B4-BE49-F238E27FC236}">
              <a16:creationId xmlns:a16="http://schemas.microsoft.com/office/drawing/2014/main" id="{00000000-0008-0000-0200-00003B010000}"/>
            </a:ext>
          </a:extLst>
        </xdr:cNvPr>
        <xdr:cNvSpPr txBox="1"/>
      </xdr:nvSpPr>
      <xdr:spPr>
        <a:xfrm>
          <a:off x="20269200" y="22574250"/>
          <a:ext cx="353136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445197" cy="1676302"/>
    <xdr:sp macro="" textlink="">
      <xdr:nvSpPr>
        <xdr:cNvPr id="316" name="TextBox 315">
          <a:extLst>
            <a:ext uri="{FF2B5EF4-FFF2-40B4-BE49-F238E27FC236}">
              <a16:creationId xmlns:a16="http://schemas.microsoft.com/office/drawing/2014/main" id="{00000000-0008-0000-0200-00003C010000}"/>
            </a:ext>
          </a:extLst>
        </xdr:cNvPr>
        <xdr:cNvSpPr txBox="1"/>
      </xdr:nvSpPr>
      <xdr:spPr>
        <a:xfrm>
          <a:off x="20269200" y="22574250"/>
          <a:ext cx="3445197"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317" name="TextBox 316">
          <a:extLst>
            <a:ext uri="{FF2B5EF4-FFF2-40B4-BE49-F238E27FC236}">
              <a16:creationId xmlns:a16="http://schemas.microsoft.com/office/drawing/2014/main" id="{00000000-0008-0000-0200-00003D010000}"/>
            </a:ext>
          </a:extLst>
        </xdr:cNvPr>
        <xdr:cNvSpPr txBox="1"/>
      </xdr:nvSpPr>
      <xdr:spPr>
        <a:xfrm>
          <a:off x="20269200" y="182022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318" name="TextBox 317">
          <a:extLst>
            <a:ext uri="{FF2B5EF4-FFF2-40B4-BE49-F238E27FC236}">
              <a16:creationId xmlns:a16="http://schemas.microsoft.com/office/drawing/2014/main" id="{00000000-0008-0000-0200-00003E01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76039"/>
    <xdr:sp macro="" textlink="">
      <xdr:nvSpPr>
        <xdr:cNvPr id="319" name="TextBox 318">
          <a:extLst>
            <a:ext uri="{FF2B5EF4-FFF2-40B4-BE49-F238E27FC236}">
              <a16:creationId xmlns:a16="http://schemas.microsoft.com/office/drawing/2014/main" id="{00000000-0008-0000-0200-00003F010000}"/>
            </a:ext>
          </a:extLst>
        </xdr:cNvPr>
        <xdr:cNvSpPr txBox="1"/>
      </xdr:nvSpPr>
      <xdr:spPr>
        <a:xfrm>
          <a:off x="20269200" y="26412825"/>
          <a:ext cx="3542843"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320" name="TextBox 319">
          <a:extLst>
            <a:ext uri="{FF2B5EF4-FFF2-40B4-BE49-F238E27FC236}">
              <a16:creationId xmlns:a16="http://schemas.microsoft.com/office/drawing/2014/main" id="{00000000-0008-0000-0200-000040010000}"/>
            </a:ext>
          </a:extLst>
        </xdr:cNvPr>
        <xdr:cNvSpPr txBox="1"/>
      </xdr:nvSpPr>
      <xdr:spPr>
        <a:xfrm>
          <a:off x="20269200" y="26412825"/>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321" name="TextBox 320">
          <a:extLst>
            <a:ext uri="{FF2B5EF4-FFF2-40B4-BE49-F238E27FC236}">
              <a16:creationId xmlns:a16="http://schemas.microsoft.com/office/drawing/2014/main" id="{00000000-0008-0000-0200-000041010000}"/>
            </a:ext>
          </a:extLst>
        </xdr:cNvPr>
        <xdr:cNvSpPr txBox="1"/>
      </xdr:nvSpPr>
      <xdr:spPr>
        <a:xfrm>
          <a:off x="20269200" y="26412825"/>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620421"/>
    <xdr:sp macro="" textlink="">
      <xdr:nvSpPr>
        <xdr:cNvPr id="322" name="TextBox 321">
          <a:extLst>
            <a:ext uri="{FF2B5EF4-FFF2-40B4-BE49-F238E27FC236}">
              <a16:creationId xmlns:a16="http://schemas.microsoft.com/office/drawing/2014/main" id="{00000000-0008-0000-0200-000042010000}"/>
            </a:ext>
          </a:extLst>
        </xdr:cNvPr>
        <xdr:cNvSpPr txBox="1"/>
      </xdr:nvSpPr>
      <xdr:spPr>
        <a:xfrm>
          <a:off x="20269200" y="22574250"/>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842257"/>
    <xdr:sp macro="" textlink="">
      <xdr:nvSpPr>
        <xdr:cNvPr id="323" name="TextBox 322">
          <a:extLst>
            <a:ext uri="{FF2B5EF4-FFF2-40B4-BE49-F238E27FC236}">
              <a16:creationId xmlns:a16="http://schemas.microsoft.com/office/drawing/2014/main" id="{00000000-0008-0000-0200-000043010000}"/>
            </a:ext>
          </a:extLst>
        </xdr:cNvPr>
        <xdr:cNvSpPr txBox="1"/>
      </xdr:nvSpPr>
      <xdr:spPr>
        <a:xfrm>
          <a:off x="20269200" y="18202275"/>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587258"/>
    <xdr:sp macro="" textlink="">
      <xdr:nvSpPr>
        <xdr:cNvPr id="324" name="TextBox 323">
          <a:extLst>
            <a:ext uri="{FF2B5EF4-FFF2-40B4-BE49-F238E27FC236}">
              <a16:creationId xmlns:a16="http://schemas.microsoft.com/office/drawing/2014/main" id="{00000000-0008-0000-0200-000044010000}"/>
            </a:ext>
          </a:extLst>
        </xdr:cNvPr>
        <xdr:cNvSpPr txBox="1"/>
      </xdr:nvSpPr>
      <xdr:spPr>
        <a:xfrm>
          <a:off x="20269200" y="22574250"/>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932" cy="1587258"/>
    <xdr:sp macro="" textlink="">
      <xdr:nvSpPr>
        <xdr:cNvPr id="325" name="TextBox 324">
          <a:extLst>
            <a:ext uri="{FF2B5EF4-FFF2-40B4-BE49-F238E27FC236}">
              <a16:creationId xmlns:a16="http://schemas.microsoft.com/office/drawing/2014/main" id="{00000000-0008-0000-0200-000045010000}"/>
            </a:ext>
          </a:extLst>
        </xdr:cNvPr>
        <xdr:cNvSpPr txBox="1"/>
      </xdr:nvSpPr>
      <xdr:spPr>
        <a:xfrm>
          <a:off x="20269200" y="22574250"/>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326" name="TextBox 325">
          <a:extLst>
            <a:ext uri="{FF2B5EF4-FFF2-40B4-BE49-F238E27FC236}">
              <a16:creationId xmlns:a16="http://schemas.microsoft.com/office/drawing/2014/main" id="{00000000-0008-0000-0200-000046010000}"/>
            </a:ext>
          </a:extLst>
        </xdr:cNvPr>
        <xdr:cNvSpPr txBox="1"/>
      </xdr:nvSpPr>
      <xdr:spPr>
        <a:xfrm>
          <a:off x="20269200" y="182022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327" name="TextBox 326">
          <a:extLst>
            <a:ext uri="{FF2B5EF4-FFF2-40B4-BE49-F238E27FC236}">
              <a16:creationId xmlns:a16="http://schemas.microsoft.com/office/drawing/2014/main" id="{00000000-0008-0000-0200-000047010000}"/>
            </a:ext>
          </a:extLst>
        </xdr:cNvPr>
        <xdr:cNvSpPr txBox="1"/>
      </xdr:nvSpPr>
      <xdr:spPr>
        <a:xfrm>
          <a:off x="20269200" y="2257425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593" cy="1587258"/>
    <xdr:sp macro="" textlink="">
      <xdr:nvSpPr>
        <xdr:cNvPr id="328" name="TextBox 327">
          <a:extLst>
            <a:ext uri="{FF2B5EF4-FFF2-40B4-BE49-F238E27FC236}">
              <a16:creationId xmlns:a16="http://schemas.microsoft.com/office/drawing/2014/main" id="{00000000-0008-0000-0200-000048010000}"/>
            </a:ext>
          </a:extLst>
        </xdr:cNvPr>
        <xdr:cNvSpPr txBox="1"/>
      </xdr:nvSpPr>
      <xdr:spPr>
        <a:xfrm>
          <a:off x="20269200" y="22574250"/>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8203" cy="1587258"/>
    <xdr:sp macro="" textlink="">
      <xdr:nvSpPr>
        <xdr:cNvPr id="329" name="TextBox 328">
          <a:extLst>
            <a:ext uri="{FF2B5EF4-FFF2-40B4-BE49-F238E27FC236}">
              <a16:creationId xmlns:a16="http://schemas.microsoft.com/office/drawing/2014/main" id="{00000000-0008-0000-0200-000049010000}"/>
            </a:ext>
          </a:extLst>
        </xdr:cNvPr>
        <xdr:cNvSpPr txBox="1"/>
      </xdr:nvSpPr>
      <xdr:spPr>
        <a:xfrm>
          <a:off x="20269200" y="22574250"/>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330" name="TextBox 329">
          <a:extLst>
            <a:ext uri="{FF2B5EF4-FFF2-40B4-BE49-F238E27FC236}">
              <a16:creationId xmlns:a16="http://schemas.microsoft.com/office/drawing/2014/main" id="{00000000-0008-0000-0200-00004A010000}"/>
            </a:ext>
          </a:extLst>
        </xdr:cNvPr>
        <xdr:cNvSpPr txBox="1"/>
      </xdr:nvSpPr>
      <xdr:spPr>
        <a:xfrm>
          <a:off x="20269200" y="182022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331" name="TextBox 330">
          <a:extLst>
            <a:ext uri="{FF2B5EF4-FFF2-40B4-BE49-F238E27FC236}">
              <a16:creationId xmlns:a16="http://schemas.microsoft.com/office/drawing/2014/main" id="{00000000-0008-0000-0200-00004B010000}"/>
            </a:ext>
          </a:extLst>
        </xdr:cNvPr>
        <xdr:cNvSpPr txBox="1"/>
      </xdr:nvSpPr>
      <xdr:spPr>
        <a:xfrm>
          <a:off x="20269200" y="2257425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332" name="TextBox 331">
          <a:extLst>
            <a:ext uri="{FF2B5EF4-FFF2-40B4-BE49-F238E27FC236}">
              <a16:creationId xmlns:a16="http://schemas.microsoft.com/office/drawing/2014/main" id="{00000000-0008-0000-0200-00004C010000}"/>
            </a:ext>
          </a:extLst>
        </xdr:cNvPr>
        <xdr:cNvSpPr txBox="1"/>
      </xdr:nvSpPr>
      <xdr:spPr>
        <a:xfrm>
          <a:off x="20269200" y="2641282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333" name="TextBox 332">
          <a:extLst>
            <a:ext uri="{FF2B5EF4-FFF2-40B4-BE49-F238E27FC236}">
              <a16:creationId xmlns:a16="http://schemas.microsoft.com/office/drawing/2014/main" id="{00000000-0008-0000-0200-00004D010000}"/>
            </a:ext>
          </a:extLst>
        </xdr:cNvPr>
        <xdr:cNvSpPr txBox="1"/>
      </xdr:nvSpPr>
      <xdr:spPr>
        <a:xfrm>
          <a:off x="20269200" y="2641282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222"/>
    <xdr:sp macro="" textlink="">
      <xdr:nvSpPr>
        <xdr:cNvPr id="334" name="TextBox 333">
          <a:extLst>
            <a:ext uri="{FF2B5EF4-FFF2-40B4-BE49-F238E27FC236}">
              <a16:creationId xmlns:a16="http://schemas.microsoft.com/office/drawing/2014/main" id="{00000000-0008-0000-0200-00004E010000}"/>
            </a:ext>
          </a:extLst>
        </xdr:cNvPr>
        <xdr:cNvSpPr txBox="1"/>
      </xdr:nvSpPr>
      <xdr:spPr>
        <a:xfrm>
          <a:off x="20269200" y="22574250"/>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748771"/>
    <xdr:sp macro="" textlink="">
      <xdr:nvSpPr>
        <xdr:cNvPr id="335" name="TextBox 334">
          <a:extLst>
            <a:ext uri="{FF2B5EF4-FFF2-40B4-BE49-F238E27FC236}">
              <a16:creationId xmlns:a16="http://schemas.microsoft.com/office/drawing/2014/main" id="{00000000-0008-0000-0200-00004F010000}"/>
            </a:ext>
          </a:extLst>
        </xdr:cNvPr>
        <xdr:cNvSpPr txBox="1"/>
      </xdr:nvSpPr>
      <xdr:spPr>
        <a:xfrm>
          <a:off x="20269200" y="18202275"/>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119"/>
    <xdr:sp macro="" textlink="">
      <xdr:nvSpPr>
        <xdr:cNvPr id="336" name="TextBox 335">
          <a:extLst>
            <a:ext uri="{FF2B5EF4-FFF2-40B4-BE49-F238E27FC236}">
              <a16:creationId xmlns:a16="http://schemas.microsoft.com/office/drawing/2014/main" id="{00000000-0008-0000-0200-000050010000}"/>
            </a:ext>
          </a:extLst>
        </xdr:cNvPr>
        <xdr:cNvSpPr txBox="1"/>
      </xdr:nvSpPr>
      <xdr:spPr>
        <a:xfrm>
          <a:off x="20269200" y="22574250"/>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114" cy="1662119"/>
    <xdr:sp macro="" textlink="">
      <xdr:nvSpPr>
        <xdr:cNvPr id="337" name="TextBox 336">
          <a:extLst>
            <a:ext uri="{FF2B5EF4-FFF2-40B4-BE49-F238E27FC236}">
              <a16:creationId xmlns:a16="http://schemas.microsoft.com/office/drawing/2014/main" id="{00000000-0008-0000-0200-000051010000}"/>
            </a:ext>
          </a:extLst>
        </xdr:cNvPr>
        <xdr:cNvSpPr txBox="1"/>
      </xdr:nvSpPr>
      <xdr:spPr>
        <a:xfrm>
          <a:off x="20269200" y="22574250"/>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731221"/>
    <xdr:sp macro="" textlink="">
      <xdr:nvSpPr>
        <xdr:cNvPr id="338" name="TextBox 337">
          <a:extLst>
            <a:ext uri="{FF2B5EF4-FFF2-40B4-BE49-F238E27FC236}">
              <a16:creationId xmlns:a16="http://schemas.microsoft.com/office/drawing/2014/main" id="{00000000-0008-0000-0200-000052010000}"/>
            </a:ext>
          </a:extLst>
        </xdr:cNvPr>
        <xdr:cNvSpPr txBox="1"/>
      </xdr:nvSpPr>
      <xdr:spPr>
        <a:xfrm>
          <a:off x="20269200" y="18202275"/>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662119"/>
    <xdr:sp macro="" textlink="">
      <xdr:nvSpPr>
        <xdr:cNvPr id="339" name="TextBox 338">
          <a:extLst>
            <a:ext uri="{FF2B5EF4-FFF2-40B4-BE49-F238E27FC236}">
              <a16:creationId xmlns:a16="http://schemas.microsoft.com/office/drawing/2014/main" id="{00000000-0008-0000-0200-000053010000}"/>
            </a:ext>
          </a:extLst>
        </xdr:cNvPr>
        <xdr:cNvSpPr txBox="1"/>
      </xdr:nvSpPr>
      <xdr:spPr>
        <a:xfrm>
          <a:off x="20269200" y="22574250"/>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340" name="TextBox 339">
          <a:extLst>
            <a:ext uri="{FF2B5EF4-FFF2-40B4-BE49-F238E27FC236}">
              <a16:creationId xmlns:a16="http://schemas.microsoft.com/office/drawing/2014/main" id="{00000000-0008-0000-0200-000054010000}"/>
            </a:ext>
          </a:extLst>
        </xdr:cNvPr>
        <xdr:cNvSpPr txBox="1"/>
      </xdr:nvSpPr>
      <xdr:spPr>
        <a:xfrm>
          <a:off x="20269200" y="2257425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731221"/>
    <xdr:sp macro="" textlink="">
      <xdr:nvSpPr>
        <xdr:cNvPr id="341" name="TextBox 340">
          <a:extLst>
            <a:ext uri="{FF2B5EF4-FFF2-40B4-BE49-F238E27FC236}">
              <a16:creationId xmlns:a16="http://schemas.microsoft.com/office/drawing/2014/main" id="{00000000-0008-0000-0200-000055010000}"/>
            </a:ext>
          </a:extLst>
        </xdr:cNvPr>
        <xdr:cNvSpPr txBox="1"/>
      </xdr:nvSpPr>
      <xdr:spPr>
        <a:xfrm>
          <a:off x="20269200" y="18202275"/>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342" name="TextBox 341">
          <a:extLst>
            <a:ext uri="{FF2B5EF4-FFF2-40B4-BE49-F238E27FC236}">
              <a16:creationId xmlns:a16="http://schemas.microsoft.com/office/drawing/2014/main" id="{00000000-0008-0000-0200-000056010000}"/>
            </a:ext>
          </a:extLst>
        </xdr:cNvPr>
        <xdr:cNvSpPr txBox="1"/>
      </xdr:nvSpPr>
      <xdr:spPr>
        <a:xfrm>
          <a:off x="20269200" y="2257425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4833" cy="1662119"/>
    <xdr:sp macro="" textlink="">
      <xdr:nvSpPr>
        <xdr:cNvPr id="343" name="TextBox 342">
          <a:extLst>
            <a:ext uri="{FF2B5EF4-FFF2-40B4-BE49-F238E27FC236}">
              <a16:creationId xmlns:a16="http://schemas.microsoft.com/office/drawing/2014/main" id="{00000000-0008-0000-0200-000057010000}"/>
            </a:ext>
          </a:extLst>
        </xdr:cNvPr>
        <xdr:cNvSpPr txBox="1"/>
      </xdr:nvSpPr>
      <xdr:spPr>
        <a:xfrm>
          <a:off x="20269200" y="22574250"/>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731221"/>
    <xdr:sp macro="" textlink="">
      <xdr:nvSpPr>
        <xdr:cNvPr id="344" name="TextBox 343">
          <a:extLst>
            <a:ext uri="{FF2B5EF4-FFF2-40B4-BE49-F238E27FC236}">
              <a16:creationId xmlns:a16="http://schemas.microsoft.com/office/drawing/2014/main" id="{00000000-0008-0000-0200-000058010000}"/>
            </a:ext>
          </a:extLst>
        </xdr:cNvPr>
        <xdr:cNvSpPr txBox="1"/>
      </xdr:nvSpPr>
      <xdr:spPr>
        <a:xfrm>
          <a:off x="20269200" y="18202275"/>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119"/>
    <xdr:sp macro="" textlink="">
      <xdr:nvSpPr>
        <xdr:cNvPr id="345" name="TextBox 344">
          <a:extLst>
            <a:ext uri="{FF2B5EF4-FFF2-40B4-BE49-F238E27FC236}">
              <a16:creationId xmlns:a16="http://schemas.microsoft.com/office/drawing/2014/main" id="{00000000-0008-0000-0200-000059010000}"/>
            </a:ext>
          </a:extLst>
        </xdr:cNvPr>
        <xdr:cNvSpPr txBox="1"/>
      </xdr:nvSpPr>
      <xdr:spPr>
        <a:xfrm>
          <a:off x="20269200" y="22574250"/>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877" cy="1662343"/>
    <xdr:sp macro="" textlink="">
      <xdr:nvSpPr>
        <xdr:cNvPr id="346" name="TextBox 345">
          <a:extLst>
            <a:ext uri="{FF2B5EF4-FFF2-40B4-BE49-F238E27FC236}">
              <a16:creationId xmlns:a16="http://schemas.microsoft.com/office/drawing/2014/main" id="{00000000-0008-0000-0200-00005A010000}"/>
            </a:ext>
          </a:extLst>
        </xdr:cNvPr>
        <xdr:cNvSpPr txBox="1"/>
      </xdr:nvSpPr>
      <xdr:spPr>
        <a:xfrm>
          <a:off x="20269200" y="26412825"/>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343"/>
    <xdr:sp macro="" textlink="">
      <xdr:nvSpPr>
        <xdr:cNvPr id="347" name="TextBox 346">
          <a:extLst>
            <a:ext uri="{FF2B5EF4-FFF2-40B4-BE49-F238E27FC236}">
              <a16:creationId xmlns:a16="http://schemas.microsoft.com/office/drawing/2014/main" id="{00000000-0008-0000-0200-00005B010000}"/>
            </a:ext>
          </a:extLst>
        </xdr:cNvPr>
        <xdr:cNvSpPr txBox="1"/>
      </xdr:nvSpPr>
      <xdr:spPr>
        <a:xfrm>
          <a:off x="20269200" y="26412825"/>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343"/>
    <xdr:sp macro="" textlink="">
      <xdr:nvSpPr>
        <xdr:cNvPr id="348" name="TextBox 347">
          <a:extLst>
            <a:ext uri="{FF2B5EF4-FFF2-40B4-BE49-F238E27FC236}">
              <a16:creationId xmlns:a16="http://schemas.microsoft.com/office/drawing/2014/main" id="{00000000-0008-0000-0200-00005C010000}"/>
            </a:ext>
          </a:extLst>
        </xdr:cNvPr>
        <xdr:cNvSpPr txBox="1"/>
      </xdr:nvSpPr>
      <xdr:spPr>
        <a:xfrm>
          <a:off x="20269200" y="26412825"/>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934"/>
    <xdr:sp macro="" textlink="">
      <xdr:nvSpPr>
        <xdr:cNvPr id="349" name="TextBox 348">
          <a:extLst>
            <a:ext uri="{FF2B5EF4-FFF2-40B4-BE49-F238E27FC236}">
              <a16:creationId xmlns:a16="http://schemas.microsoft.com/office/drawing/2014/main" id="{00000000-0008-0000-0200-00005D010000}"/>
            </a:ext>
          </a:extLst>
        </xdr:cNvPr>
        <xdr:cNvSpPr txBox="1"/>
      </xdr:nvSpPr>
      <xdr:spPr>
        <a:xfrm>
          <a:off x="20269200" y="22574250"/>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742770"/>
    <xdr:sp macro="" textlink="">
      <xdr:nvSpPr>
        <xdr:cNvPr id="350" name="TextBox 349">
          <a:extLst>
            <a:ext uri="{FF2B5EF4-FFF2-40B4-BE49-F238E27FC236}">
              <a16:creationId xmlns:a16="http://schemas.microsoft.com/office/drawing/2014/main" id="{00000000-0008-0000-0200-00005E010000}"/>
            </a:ext>
          </a:extLst>
        </xdr:cNvPr>
        <xdr:cNvSpPr txBox="1"/>
      </xdr:nvSpPr>
      <xdr:spPr>
        <a:xfrm>
          <a:off x="20269200" y="18202275"/>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831"/>
    <xdr:sp macro="" textlink="">
      <xdr:nvSpPr>
        <xdr:cNvPr id="351" name="TextBox 350">
          <a:extLst>
            <a:ext uri="{FF2B5EF4-FFF2-40B4-BE49-F238E27FC236}">
              <a16:creationId xmlns:a16="http://schemas.microsoft.com/office/drawing/2014/main" id="{00000000-0008-0000-0200-00005F010000}"/>
            </a:ext>
          </a:extLst>
        </xdr:cNvPr>
        <xdr:cNvSpPr txBox="1"/>
      </xdr:nvSpPr>
      <xdr:spPr>
        <a:xfrm>
          <a:off x="20269200" y="22574250"/>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5023"/>
    <xdr:sp macro="" textlink="">
      <xdr:nvSpPr>
        <xdr:cNvPr id="352" name="TextBox 351">
          <a:extLst>
            <a:ext uri="{FF2B5EF4-FFF2-40B4-BE49-F238E27FC236}">
              <a16:creationId xmlns:a16="http://schemas.microsoft.com/office/drawing/2014/main" id="{00000000-0008-0000-0200-000060010000}"/>
            </a:ext>
          </a:extLst>
        </xdr:cNvPr>
        <xdr:cNvSpPr txBox="1"/>
      </xdr:nvSpPr>
      <xdr:spPr>
        <a:xfrm>
          <a:off x="20269200" y="22574250"/>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717993"/>
    <xdr:sp macro="" textlink="">
      <xdr:nvSpPr>
        <xdr:cNvPr id="353" name="TextBox 352">
          <a:extLst>
            <a:ext uri="{FF2B5EF4-FFF2-40B4-BE49-F238E27FC236}">
              <a16:creationId xmlns:a16="http://schemas.microsoft.com/office/drawing/2014/main" id="{00000000-0008-0000-0200-000061010000}"/>
            </a:ext>
          </a:extLst>
        </xdr:cNvPr>
        <xdr:cNvSpPr txBox="1"/>
      </xdr:nvSpPr>
      <xdr:spPr>
        <a:xfrm>
          <a:off x="20269200" y="18202275"/>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4935"/>
    <xdr:sp macro="" textlink="">
      <xdr:nvSpPr>
        <xdr:cNvPr id="354" name="TextBox 353">
          <a:extLst>
            <a:ext uri="{FF2B5EF4-FFF2-40B4-BE49-F238E27FC236}">
              <a16:creationId xmlns:a16="http://schemas.microsoft.com/office/drawing/2014/main" id="{00000000-0008-0000-0200-000062010000}"/>
            </a:ext>
          </a:extLst>
        </xdr:cNvPr>
        <xdr:cNvSpPr txBox="1"/>
      </xdr:nvSpPr>
      <xdr:spPr>
        <a:xfrm>
          <a:off x="20269200" y="22574250"/>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4773" cy="1434935"/>
    <xdr:sp macro="" textlink="">
      <xdr:nvSpPr>
        <xdr:cNvPr id="355" name="TextBox 354">
          <a:extLst>
            <a:ext uri="{FF2B5EF4-FFF2-40B4-BE49-F238E27FC236}">
              <a16:creationId xmlns:a16="http://schemas.microsoft.com/office/drawing/2014/main" id="{00000000-0008-0000-0200-000063010000}"/>
            </a:ext>
          </a:extLst>
        </xdr:cNvPr>
        <xdr:cNvSpPr txBox="1"/>
      </xdr:nvSpPr>
      <xdr:spPr>
        <a:xfrm>
          <a:off x="20269200" y="22574250"/>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356" name="TextBox 355">
          <a:extLst>
            <a:ext uri="{FF2B5EF4-FFF2-40B4-BE49-F238E27FC236}">
              <a16:creationId xmlns:a16="http://schemas.microsoft.com/office/drawing/2014/main" id="{00000000-0008-0000-0200-000064010000}"/>
            </a:ext>
          </a:extLst>
        </xdr:cNvPr>
        <xdr:cNvSpPr txBox="1"/>
      </xdr:nvSpPr>
      <xdr:spPr>
        <a:xfrm>
          <a:off x="20269200" y="2257425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357" name="TextBox 356">
          <a:extLst>
            <a:ext uri="{FF2B5EF4-FFF2-40B4-BE49-F238E27FC236}">
              <a16:creationId xmlns:a16="http://schemas.microsoft.com/office/drawing/2014/main" id="{00000000-0008-0000-0200-000065010000}"/>
            </a:ext>
          </a:extLst>
        </xdr:cNvPr>
        <xdr:cNvSpPr txBox="1"/>
      </xdr:nvSpPr>
      <xdr:spPr>
        <a:xfrm>
          <a:off x="20269200" y="182022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358" name="TextBox 357">
          <a:extLst>
            <a:ext uri="{FF2B5EF4-FFF2-40B4-BE49-F238E27FC236}">
              <a16:creationId xmlns:a16="http://schemas.microsoft.com/office/drawing/2014/main" id="{00000000-0008-0000-0200-000066010000}"/>
            </a:ext>
          </a:extLst>
        </xdr:cNvPr>
        <xdr:cNvSpPr txBox="1"/>
      </xdr:nvSpPr>
      <xdr:spPr>
        <a:xfrm>
          <a:off x="20269200" y="2257425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359" name="TextBox 358">
          <a:extLst>
            <a:ext uri="{FF2B5EF4-FFF2-40B4-BE49-F238E27FC236}">
              <a16:creationId xmlns:a16="http://schemas.microsoft.com/office/drawing/2014/main" id="{00000000-0008-0000-0200-000067010000}"/>
            </a:ext>
          </a:extLst>
        </xdr:cNvPr>
        <xdr:cNvSpPr txBox="1"/>
      </xdr:nvSpPr>
      <xdr:spPr>
        <a:xfrm>
          <a:off x="20269200" y="2257425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360" name="TextBox 359">
          <a:extLst>
            <a:ext uri="{FF2B5EF4-FFF2-40B4-BE49-F238E27FC236}">
              <a16:creationId xmlns:a16="http://schemas.microsoft.com/office/drawing/2014/main" id="{00000000-0008-0000-0200-000068010000}"/>
            </a:ext>
          </a:extLst>
        </xdr:cNvPr>
        <xdr:cNvSpPr txBox="1"/>
      </xdr:nvSpPr>
      <xdr:spPr>
        <a:xfrm>
          <a:off x="20269200" y="182022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361" name="TextBox 360">
          <a:extLst>
            <a:ext uri="{FF2B5EF4-FFF2-40B4-BE49-F238E27FC236}">
              <a16:creationId xmlns:a16="http://schemas.microsoft.com/office/drawing/2014/main" id="{00000000-0008-0000-0200-000069010000}"/>
            </a:ext>
          </a:extLst>
        </xdr:cNvPr>
        <xdr:cNvSpPr txBox="1"/>
      </xdr:nvSpPr>
      <xdr:spPr>
        <a:xfrm>
          <a:off x="20269200" y="2257425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362" name="TextBox 361">
          <a:extLst>
            <a:ext uri="{FF2B5EF4-FFF2-40B4-BE49-F238E27FC236}">
              <a16:creationId xmlns:a16="http://schemas.microsoft.com/office/drawing/2014/main" id="{00000000-0008-0000-0200-00006A010000}"/>
            </a:ext>
          </a:extLst>
        </xdr:cNvPr>
        <xdr:cNvSpPr txBox="1"/>
      </xdr:nvSpPr>
      <xdr:spPr>
        <a:xfrm>
          <a:off x="20269200" y="2257425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363" name="TextBox 362">
          <a:extLst>
            <a:ext uri="{FF2B5EF4-FFF2-40B4-BE49-F238E27FC236}">
              <a16:creationId xmlns:a16="http://schemas.microsoft.com/office/drawing/2014/main" id="{00000000-0008-0000-0200-00006B010000}"/>
            </a:ext>
          </a:extLst>
        </xdr:cNvPr>
        <xdr:cNvSpPr txBox="1"/>
      </xdr:nvSpPr>
      <xdr:spPr>
        <a:xfrm>
          <a:off x="20269200" y="2257425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746347"/>
    <xdr:sp macro="" textlink="">
      <xdr:nvSpPr>
        <xdr:cNvPr id="364" name="TextBox 363">
          <a:extLst>
            <a:ext uri="{FF2B5EF4-FFF2-40B4-BE49-F238E27FC236}">
              <a16:creationId xmlns:a16="http://schemas.microsoft.com/office/drawing/2014/main" id="{00000000-0008-0000-0200-00006C010000}"/>
            </a:ext>
          </a:extLst>
        </xdr:cNvPr>
        <xdr:cNvSpPr txBox="1"/>
      </xdr:nvSpPr>
      <xdr:spPr>
        <a:xfrm>
          <a:off x="20269200" y="18202275"/>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661857"/>
    <xdr:sp macro="" textlink="">
      <xdr:nvSpPr>
        <xdr:cNvPr id="365" name="TextBox 364">
          <a:extLst>
            <a:ext uri="{FF2B5EF4-FFF2-40B4-BE49-F238E27FC236}">
              <a16:creationId xmlns:a16="http://schemas.microsoft.com/office/drawing/2014/main" id="{00000000-0008-0000-0200-00006D010000}"/>
            </a:ext>
          </a:extLst>
        </xdr:cNvPr>
        <xdr:cNvSpPr txBox="1"/>
      </xdr:nvSpPr>
      <xdr:spPr>
        <a:xfrm>
          <a:off x="20269200" y="22574250"/>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178" cy="1661857"/>
    <xdr:sp macro="" textlink="">
      <xdr:nvSpPr>
        <xdr:cNvPr id="366" name="TextBox 365">
          <a:extLst>
            <a:ext uri="{FF2B5EF4-FFF2-40B4-BE49-F238E27FC236}">
              <a16:creationId xmlns:a16="http://schemas.microsoft.com/office/drawing/2014/main" id="{00000000-0008-0000-0200-00006E010000}"/>
            </a:ext>
          </a:extLst>
        </xdr:cNvPr>
        <xdr:cNvSpPr txBox="1"/>
      </xdr:nvSpPr>
      <xdr:spPr>
        <a:xfrm>
          <a:off x="20269200" y="22574250"/>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9642" cy="1678802"/>
    <xdr:sp macro="" textlink="">
      <xdr:nvSpPr>
        <xdr:cNvPr id="367" name="TextBox 366">
          <a:extLst>
            <a:ext uri="{FF2B5EF4-FFF2-40B4-BE49-F238E27FC236}">
              <a16:creationId xmlns:a16="http://schemas.microsoft.com/office/drawing/2014/main" id="{00000000-0008-0000-0200-00006F010000}"/>
            </a:ext>
          </a:extLst>
        </xdr:cNvPr>
        <xdr:cNvSpPr txBox="1"/>
      </xdr:nvSpPr>
      <xdr:spPr>
        <a:xfrm>
          <a:off x="20269200" y="26412825"/>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419"/>
    <xdr:sp macro="" textlink="">
      <xdr:nvSpPr>
        <xdr:cNvPr id="368" name="TextBox 367">
          <a:extLst>
            <a:ext uri="{FF2B5EF4-FFF2-40B4-BE49-F238E27FC236}">
              <a16:creationId xmlns:a16="http://schemas.microsoft.com/office/drawing/2014/main" id="{00000000-0008-0000-0200-000070010000}"/>
            </a:ext>
          </a:extLst>
        </xdr:cNvPr>
        <xdr:cNvSpPr txBox="1"/>
      </xdr:nvSpPr>
      <xdr:spPr>
        <a:xfrm>
          <a:off x="20269200" y="22574250"/>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759058"/>
    <xdr:sp macro="" textlink="">
      <xdr:nvSpPr>
        <xdr:cNvPr id="369" name="TextBox 368">
          <a:extLst>
            <a:ext uri="{FF2B5EF4-FFF2-40B4-BE49-F238E27FC236}">
              <a16:creationId xmlns:a16="http://schemas.microsoft.com/office/drawing/2014/main" id="{00000000-0008-0000-0200-000071010000}"/>
            </a:ext>
          </a:extLst>
        </xdr:cNvPr>
        <xdr:cNvSpPr txBox="1"/>
      </xdr:nvSpPr>
      <xdr:spPr>
        <a:xfrm>
          <a:off x="20269200" y="18202275"/>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316"/>
    <xdr:sp macro="" textlink="">
      <xdr:nvSpPr>
        <xdr:cNvPr id="370" name="TextBox 369">
          <a:extLst>
            <a:ext uri="{FF2B5EF4-FFF2-40B4-BE49-F238E27FC236}">
              <a16:creationId xmlns:a16="http://schemas.microsoft.com/office/drawing/2014/main" id="{00000000-0008-0000-0200-000072010000}"/>
            </a:ext>
          </a:extLst>
        </xdr:cNvPr>
        <xdr:cNvSpPr txBox="1"/>
      </xdr:nvSpPr>
      <xdr:spPr>
        <a:xfrm>
          <a:off x="20269200" y="22574250"/>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21" cy="1650316"/>
    <xdr:sp macro="" textlink="">
      <xdr:nvSpPr>
        <xdr:cNvPr id="371" name="TextBox 370">
          <a:extLst>
            <a:ext uri="{FF2B5EF4-FFF2-40B4-BE49-F238E27FC236}">
              <a16:creationId xmlns:a16="http://schemas.microsoft.com/office/drawing/2014/main" id="{00000000-0008-0000-0200-000073010000}"/>
            </a:ext>
          </a:extLst>
        </xdr:cNvPr>
        <xdr:cNvSpPr txBox="1"/>
      </xdr:nvSpPr>
      <xdr:spPr>
        <a:xfrm>
          <a:off x="20269200" y="22574250"/>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372" name="TextBox 371">
          <a:extLst>
            <a:ext uri="{FF2B5EF4-FFF2-40B4-BE49-F238E27FC236}">
              <a16:creationId xmlns:a16="http://schemas.microsoft.com/office/drawing/2014/main" id="{00000000-0008-0000-0200-000074010000}"/>
            </a:ext>
          </a:extLst>
        </xdr:cNvPr>
        <xdr:cNvSpPr txBox="1"/>
      </xdr:nvSpPr>
      <xdr:spPr>
        <a:xfrm>
          <a:off x="20269200" y="2257425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373" name="TextBox 372">
          <a:extLst>
            <a:ext uri="{FF2B5EF4-FFF2-40B4-BE49-F238E27FC236}">
              <a16:creationId xmlns:a16="http://schemas.microsoft.com/office/drawing/2014/main" id="{00000000-0008-0000-0200-000075010000}"/>
            </a:ext>
          </a:extLst>
        </xdr:cNvPr>
        <xdr:cNvSpPr txBox="1"/>
      </xdr:nvSpPr>
      <xdr:spPr>
        <a:xfrm>
          <a:off x="20269200" y="2641282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374" name="TextBox 373">
          <a:extLst>
            <a:ext uri="{FF2B5EF4-FFF2-40B4-BE49-F238E27FC236}">
              <a16:creationId xmlns:a16="http://schemas.microsoft.com/office/drawing/2014/main" id="{00000000-0008-0000-0200-000076010000}"/>
            </a:ext>
          </a:extLst>
        </xdr:cNvPr>
        <xdr:cNvSpPr txBox="1"/>
      </xdr:nvSpPr>
      <xdr:spPr>
        <a:xfrm>
          <a:off x="20269200" y="2641282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2021"/>
    <xdr:sp macro="" textlink="">
      <xdr:nvSpPr>
        <xdr:cNvPr id="375" name="TextBox 374">
          <a:extLst>
            <a:ext uri="{FF2B5EF4-FFF2-40B4-BE49-F238E27FC236}">
              <a16:creationId xmlns:a16="http://schemas.microsoft.com/office/drawing/2014/main" id="{00000000-0008-0000-0200-000077010000}"/>
            </a:ext>
          </a:extLst>
        </xdr:cNvPr>
        <xdr:cNvSpPr txBox="1"/>
      </xdr:nvSpPr>
      <xdr:spPr>
        <a:xfrm>
          <a:off x="20269200" y="22574250"/>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748948"/>
    <xdr:sp macro="" textlink="">
      <xdr:nvSpPr>
        <xdr:cNvPr id="376" name="TextBox 375">
          <a:extLst>
            <a:ext uri="{FF2B5EF4-FFF2-40B4-BE49-F238E27FC236}">
              <a16:creationId xmlns:a16="http://schemas.microsoft.com/office/drawing/2014/main" id="{00000000-0008-0000-0200-000078010000}"/>
            </a:ext>
          </a:extLst>
        </xdr:cNvPr>
        <xdr:cNvSpPr txBox="1"/>
      </xdr:nvSpPr>
      <xdr:spPr>
        <a:xfrm>
          <a:off x="20269200" y="18202275"/>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1918"/>
    <xdr:sp macro="" textlink="">
      <xdr:nvSpPr>
        <xdr:cNvPr id="377" name="TextBox 376">
          <a:extLst>
            <a:ext uri="{FF2B5EF4-FFF2-40B4-BE49-F238E27FC236}">
              <a16:creationId xmlns:a16="http://schemas.microsoft.com/office/drawing/2014/main" id="{00000000-0008-0000-0200-000079010000}"/>
            </a:ext>
          </a:extLst>
        </xdr:cNvPr>
        <xdr:cNvSpPr txBox="1"/>
      </xdr:nvSpPr>
      <xdr:spPr>
        <a:xfrm>
          <a:off x="20269200" y="22574250"/>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5265" cy="1661918"/>
    <xdr:sp macro="" textlink="">
      <xdr:nvSpPr>
        <xdr:cNvPr id="378" name="TextBox 377">
          <a:extLst>
            <a:ext uri="{FF2B5EF4-FFF2-40B4-BE49-F238E27FC236}">
              <a16:creationId xmlns:a16="http://schemas.microsoft.com/office/drawing/2014/main" id="{00000000-0008-0000-0200-00007A010000}"/>
            </a:ext>
          </a:extLst>
        </xdr:cNvPr>
        <xdr:cNvSpPr txBox="1"/>
      </xdr:nvSpPr>
      <xdr:spPr>
        <a:xfrm>
          <a:off x="20269200" y="22574250"/>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945" cy="1661918"/>
    <xdr:sp macro="" textlink="">
      <xdr:nvSpPr>
        <xdr:cNvPr id="379" name="TextBox 378">
          <a:extLst>
            <a:ext uri="{FF2B5EF4-FFF2-40B4-BE49-F238E27FC236}">
              <a16:creationId xmlns:a16="http://schemas.microsoft.com/office/drawing/2014/main" id="{00000000-0008-0000-0200-00007B010000}"/>
            </a:ext>
          </a:extLst>
        </xdr:cNvPr>
        <xdr:cNvSpPr txBox="1"/>
      </xdr:nvSpPr>
      <xdr:spPr>
        <a:xfrm>
          <a:off x="20269200" y="22574250"/>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2021"/>
    <xdr:sp macro="" textlink="">
      <xdr:nvSpPr>
        <xdr:cNvPr id="380" name="TextBox 379">
          <a:extLst>
            <a:ext uri="{FF2B5EF4-FFF2-40B4-BE49-F238E27FC236}">
              <a16:creationId xmlns:a16="http://schemas.microsoft.com/office/drawing/2014/main" id="{00000000-0008-0000-0200-00007C010000}"/>
            </a:ext>
          </a:extLst>
        </xdr:cNvPr>
        <xdr:cNvSpPr txBox="1"/>
      </xdr:nvSpPr>
      <xdr:spPr>
        <a:xfrm>
          <a:off x="20269200" y="22574250"/>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748948"/>
    <xdr:sp macro="" textlink="">
      <xdr:nvSpPr>
        <xdr:cNvPr id="381" name="TextBox 380">
          <a:extLst>
            <a:ext uri="{FF2B5EF4-FFF2-40B4-BE49-F238E27FC236}">
              <a16:creationId xmlns:a16="http://schemas.microsoft.com/office/drawing/2014/main" id="{00000000-0008-0000-0200-00007D010000}"/>
            </a:ext>
          </a:extLst>
        </xdr:cNvPr>
        <xdr:cNvSpPr txBox="1"/>
      </xdr:nvSpPr>
      <xdr:spPr>
        <a:xfrm>
          <a:off x="20269200" y="18202275"/>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1918"/>
    <xdr:sp macro="" textlink="">
      <xdr:nvSpPr>
        <xdr:cNvPr id="382" name="TextBox 381">
          <a:extLst>
            <a:ext uri="{FF2B5EF4-FFF2-40B4-BE49-F238E27FC236}">
              <a16:creationId xmlns:a16="http://schemas.microsoft.com/office/drawing/2014/main" id="{00000000-0008-0000-0200-00007E010000}"/>
            </a:ext>
          </a:extLst>
        </xdr:cNvPr>
        <xdr:cNvSpPr txBox="1"/>
      </xdr:nvSpPr>
      <xdr:spPr>
        <a:xfrm>
          <a:off x="20269200" y="22574250"/>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383" name="TextBox 382">
          <a:extLst>
            <a:ext uri="{FF2B5EF4-FFF2-40B4-BE49-F238E27FC236}">
              <a16:creationId xmlns:a16="http://schemas.microsoft.com/office/drawing/2014/main" id="{00000000-0008-0000-0200-00007F010000}"/>
            </a:ext>
          </a:extLst>
        </xdr:cNvPr>
        <xdr:cNvSpPr txBox="1"/>
      </xdr:nvSpPr>
      <xdr:spPr>
        <a:xfrm>
          <a:off x="20269200" y="2257425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746584"/>
    <xdr:sp macro="" textlink="">
      <xdr:nvSpPr>
        <xdr:cNvPr id="384" name="TextBox 383">
          <a:extLst>
            <a:ext uri="{FF2B5EF4-FFF2-40B4-BE49-F238E27FC236}">
              <a16:creationId xmlns:a16="http://schemas.microsoft.com/office/drawing/2014/main" id="{00000000-0008-0000-0200-000080010000}"/>
            </a:ext>
          </a:extLst>
        </xdr:cNvPr>
        <xdr:cNvSpPr txBox="1"/>
      </xdr:nvSpPr>
      <xdr:spPr>
        <a:xfrm>
          <a:off x="20269200" y="18202275"/>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661918"/>
    <xdr:sp macro="" textlink="">
      <xdr:nvSpPr>
        <xdr:cNvPr id="385" name="TextBox 384">
          <a:extLst>
            <a:ext uri="{FF2B5EF4-FFF2-40B4-BE49-F238E27FC236}">
              <a16:creationId xmlns:a16="http://schemas.microsoft.com/office/drawing/2014/main" id="{00000000-0008-0000-0200-000081010000}"/>
            </a:ext>
          </a:extLst>
        </xdr:cNvPr>
        <xdr:cNvSpPr txBox="1"/>
      </xdr:nvSpPr>
      <xdr:spPr>
        <a:xfrm>
          <a:off x="20269200" y="22574250"/>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00147" cy="1661918"/>
    <xdr:sp macro="" textlink="">
      <xdr:nvSpPr>
        <xdr:cNvPr id="386" name="TextBox 385">
          <a:extLst>
            <a:ext uri="{FF2B5EF4-FFF2-40B4-BE49-F238E27FC236}">
              <a16:creationId xmlns:a16="http://schemas.microsoft.com/office/drawing/2014/main" id="{00000000-0008-0000-0200-000082010000}"/>
            </a:ext>
          </a:extLst>
        </xdr:cNvPr>
        <xdr:cNvSpPr txBox="1"/>
      </xdr:nvSpPr>
      <xdr:spPr>
        <a:xfrm>
          <a:off x="20269200" y="22574250"/>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592" cy="1661918"/>
    <xdr:sp macro="" textlink="">
      <xdr:nvSpPr>
        <xdr:cNvPr id="387" name="TextBox 386">
          <a:extLst>
            <a:ext uri="{FF2B5EF4-FFF2-40B4-BE49-F238E27FC236}">
              <a16:creationId xmlns:a16="http://schemas.microsoft.com/office/drawing/2014/main" id="{00000000-0008-0000-0200-000083010000}"/>
            </a:ext>
          </a:extLst>
        </xdr:cNvPr>
        <xdr:cNvSpPr txBox="1"/>
      </xdr:nvSpPr>
      <xdr:spPr>
        <a:xfrm>
          <a:off x="20269200" y="22574250"/>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746584"/>
    <xdr:sp macro="" textlink="">
      <xdr:nvSpPr>
        <xdr:cNvPr id="388" name="TextBox 387">
          <a:extLst>
            <a:ext uri="{FF2B5EF4-FFF2-40B4-BE49-F238E27FC236}">
              <a16:creationId xmlns:a16="http://schemas.microsoft.com/office/drawing/2014/main" id="{00000000-0008-0000-0200-000084010000}"/>
            </a:ext>
          </a:extLst>
        </xdr:cNvPr>
        <xdr:cNvSpPr txBox="1"/>
      </xdr:nvSpPr>
      <xdr:spPr>
        <a:xfrm>
          <a:off x="20269200" y="18202275"/>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661918"/>
    <xdr:sp macro="" textlink="">
      <xdr:nvSpPr>
        <xdr:cNvPr id="389" name="TextBox 388">
          <a:extLst>
            <a:ext uri="{FF2B5EF4-FFF2-40B4-BE49-F238E27FC236}">
              <a16:creationId xmlns:a16="http://schemas.microsoft.com/office/drawing/2014/main" id="{00000000-0008-0000-0200-000085010000}"/>
            </a:ext>
          </a:extLst>
        </xdr:cNvPr>
        <xdr:cNvSpPr txBox="1"/>
      </xdr:nvSpPr>
      <xdr:spPr>
        <a:xfrm>
          <a:off x="20269200" y="22574250"/>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390" name="TextBox 389">
          <a:extLst>
            <a:ext uri="{FF2B5EF4-FFF2-40B4-BE49-F238E27FC236}">
              <a16:creationId xmlns:a16="http://schemas.microsoft.com/office/drawing/2014/main" id="{00000000-0008-0000-0200-000086010000}"/>
            </a:ext>
          </a:extLst>
        </xdr:cNvPr>
        <xdr:cNvSpPr txBox="1"/>
      </xdr:nvSpPr>
      <xdr:spPr>
        <a:xfrm>
          <a:off x="20269200" y="2641282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391" name="TextBox 390">
          <a:extLst>
            <a:ext uri="{FF2B5EF4-FFF2-40B4-BE49-F238E27FC236}">
              <a16:creationId xmlns:a16="http://schemas.microsoft.com/office/drawing/2014/main" id="{00000000-0008-0000-0200-000087010000}"/>
            </a:ext>
          </a:extLst>
        </xdr:cNvPr>
        <xdr:cNvSpPr txBox="1"/>
      </xdr:nvSpPr>
      <xdr:spPr>
        <a:xfrm>
          <a:off x="20269200" y="2641282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0766" cy="1679418"/>
    <xdr:sp macro="" textlink="">
      <xdr:nvSpPr>
        <xdr:cNvPr id="392" name="TextBox 391">
          <a:extLst>
            <a:ext uri="{FF2B5EF4-FFF2-40B4-BE49-F238E27FC236}">
              <a16:creationId xmlns:a16="http://schemas.microsoft.com/office/drawing/2014/main" id="{00000000-0008-0000-0200-000088010000}"/>
            </a:ext>
          </a:extLst>
        </xdr:cNvPr>
        <xdr:cNvSpPr txBox="1"/>
      </xdr:nvSpPr>
      <xdr:spPr>
        <a:xfrm>
          <a:off x="15201900" y="22574250"/>
          <a:ext cx="3560766"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0766" cy="1747852"/>
    <xdr:sp macro="" textlink="">
      <xdr:nvSpPr>
        <xdr:cNvPr id="393" name="TextBox 392">
          <a:extLst>
            <a:ext uri="{FF2B5EF4-FFF2-40B4-BE49-F238E27FC236}">
              <a16:creationId xmlns:a16="http://schemas.microsoft.com/office/drawing/2014/main" id="{00000000-0008-0000-0200-000089010000}"/>
            </a:ext>
          </a:extLst>
        </xdr:cNvPr>
        <xdr:cNvSpPr txBox="1"/>
      </xdr:nvSpPr>
      <xdr:spPr>
        <a:xfrm>
          <a:off x="15201900" y="18202275"/>
          <a:ext cx="3560766"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0766" cy="1682488"/>
    <xdr:sp macro="" textlink="">
      <xdr:nvSpPr>
        <xdr:cNvPr id="394" name="TextBox 393">
          <a:extLst>
            <a:ext uri="{FF2B5EF4-FFF2-40B4-BE49-F238E27FC236}">
              <a16:creationId xmlns:a16="http://schemas.microsoft.com/office/drawing/2014/main" id="{00000000-0008-0000-0200-00008A010000}"/>
            </a:ext>
          </a:extLst>
        </xdr:cNvPr>
        <xdr:cNvSpPr txBox="1"/>
      </xdr:nvSpPr>
      <xdr:spPr>
        <a:xfrm>
          <a:off x="15201900" y="22574250"/>
          <a:ext cx="356076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927" cy="1755464"/>
    <xdr:sp macro="" textlink="">
      <xdr:nvSpPr>
        <xdr:cNvPr id="395" name="TextBox 394">
          <a:extLst>
            <a:ext uri="{FF2B5EF4-FFF2-40B4-BE49-F238E27FC236}">
              <a16:creationId xmlns:a16="http://schemas.microsoft.com/office/drawing/2014/main" id="{00000000-0008-0000-0200-00008B010000}"/>
            </a:ext>
          </a:extLst>
        </xdr:cNvPr>
        <xdr:cNvSpPr txBox="1"/>
      </xdr:nvSpPr>
      <xdr:spPr>
        <a:xfrm>
          <a:off x="31703010" y="18202275"/>
          <a:ext cx="3555927"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927" cy="1682488"/>
    <xdr:sp macro="" textlink="">
      <xdr:nvSpPr>
        <xdr:cNvPr id="396" name="TextBox 395">
          <a:extLst>
            <a:ext uri="{FF2B5EF4-FFF2-40B4-BE49-F238E27FC236}">
              <a16:creationId xmlns:a16="http://schemas.microsoft.com/office/drawing/2014/main" id="{00000000-0008-0000-0200-00008C010000}"/>
            </a:ext>
          </a:extLst>
        </xdr:cNvPr>
        <xdr:cNvSpPr txBox="1"/>
      </xdr:nvSpPr>
      <xdr:spPr>
        <a:xfrm>
          <a:off x="31703010" y="22574250"/>
          <a:ext cx="3555927"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682488"/>
    <xdr:sp macro="" textlink="">
      <xdr:nvSpPr>
        <xdr:cNvPr id="397" name="TextBox 396">
          <a:extLst>
            <a:ext uri="{FF2B5EF4-FFF2-40B4-BE49-F238E27FC236}">
              <a16:creationId xmlns:a16="http://schemas.microsoft.com/office/drawing/2014/main" id="{00000000-0008-0000-0200-00008D010000}"/>
            </a:ext>
          </a:extLst>
        </xdr:cNvPr>
        <xdr:cNvSpPr txBox="1"/>
      </xdr:nvSpPr>
      <xdr:spPr>
        <a:xfrm>
          <a:off x="32417385" y="2257425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755464"/>
    <xdr:sp macro="" textlink="">
      <xdr:nvSpPr>
        <xdr:cNvPr id="398" name="TextBox 397">
          <a:extLst>
            <a:ext uri="{FF2B5EF4-FFF2-40B4-BE49-F238E27FC236}">
              <a16:creationId xmlns:a16="http://schemas.microsoft.com/office/drawing/2014/main" id="{00000000-0008-0000-0200-00008E010000}"/>
            </a:ext>
          </a:extLst>
        </xdr:cNvPr>
        <xdr:cNvSpPr txBox="1"/>
      </xdr:nvSpPr>
      <xdr:spPr>
        <a:xfrm>
          <a:off x="25269825" y="18202275"/>
          <a:ext cx="3556010"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682488"/>
    <xdr:sp macro="" textlink="">
      <xdr:nvSpPr>
        <xdr:cNvPr id="399" name="TextBox 398">
          <a:extLst>
            <a:ext uri="{FF2B5EF4-FFF2-40B4-BE49-F238E27FC236}">
              <a16:creationId xmlns:a16="http://schemas.microsoft.com/office/drawing/2014/main" id="{00000000-0008-0000-0200-00008F010000}"/>
            </a:ext>
          </a:extLst>
        </xdr:cNvPr>
        <xdr:cNvSpPr txBox="1"/>
      </xdr:nvSpPr>
      <xdr:spPr>
        <a:xfrm>
          <a:off x="25269825" y="2257425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846" cy="1682488"/>
    <xdr:sp macro="" textlink="">
      <xdr:nvSpPr>
        <xdr:cNvPr id="400" name="TextBox 399">
          <a:extLst>
            <a:ext uri="{FF2B5EF4-FFF2-40B4-BE49-F238E27FC236}">
              <a16:creationId xmlns:a16="http://schemas.microsoft.com/office/drawing/2014/main" id="{00000000-0008-0000-0200-000090010000}"/>
            </a:ext>
          </a:extLst>
        </xdr:cNvPr>
        <xdr:cNvSpPr txBox="1"/>
      </xdr:nvSpPr>
      <xdr:spPr>
        <a:xfrm>
          <a:off x="19059525" y="22574250"/>
          <a:ext cx="355584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3718" cy="1682488"/>
    <xdr:sp macro="" textlink="">
      <xdr:nvSpPr>
        <xdr:cNvPr id="401" name="TextBox 400">
          <a:extLst>
            <a:ext uri="{FF2B5EF4-FFF2-40B4-BE49-F238E27FC236}">
              <a16:creationId xmlns:a16="http://schemas.microsoft.com/office/drawing/2014/main" id="{00000000-0008-0000-0200-000091010000}"/>
            </a:ext>
          </a:extLst>
        </xdr:cNvPr>
        <xdr:cNvSpPr txBox="1"/>
      </xdr:nvSpPr>
      <xdr:spPr>
        <a:xfrm>
          <a:off x="26698575" y="22574250"/>
          <a:ext cx="3523718"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755464"/>
    <xdr:sp macro="" textlink="">
      <xdr:nvSpPr>
        <xdr:cNvPr id="402" name="TextBox 401">
          <a:extLst>
            <a:ext uri="{FF2B5EF4-FFF2-40B4-BE49-F238E27FC236}">
              <a16:creationId xmlns:a16="http://schemas.microsoft.com/office/drawing/2014/main" id="{00000000-0008-0000-0200-000092010000}"/>
            </a:ext>
          </a:extLst>
        </xdr:cNvPr>
        <xdr:cNvSpPr txBox="1"/>
      </xdr:nvSpPr>
      <xdr:spPr>
        <a:xfrm>
          <a:off x="12633960" y="18202275"/>
          <a:ext cx="3556010"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682488"/>
    <xdr:sp macro="" textlink="">
      <xdr:nvSpPr>
        <xdr:cNvPr id="403" name="TextBox 402">
          <a:extLst>
            <a:ext uri="{FF2B5EF4-FFF2-40B4-BE49-F238E27FC236}">
              <a16:creationId xmlns:a16="http://schemas.microsoft.com/office/drawing/2014/main" id="{00000000-0008-0000-0200-000093010000}"/>
            </a:ext>
          </a:extLst>
        </xdr:cNvPr>
        <xdr:cNvSpPr txBox="1"/>
      </xdr:nvSpPr>
      <xdr:spPr>
        <a:xfrm>
          <a:off x="12633960" y="2257425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927" cy="1741250"/>
    <xdr:sp macro="" textlink="">
      <xdr:nvSpPr>
        <xdr:cNvPr id="404" name="TextBox 403">
          <a:extLst>
            <a:ext uri="{FF2B5EF4-FFF2-40B4-BE49-F238E27FC236}">
              <a16:creationId xmlns:a16="http://schemas.microsoft.com/office/drawing/2014/main" id="{00000000-0008-0000-0200-000094010000}"/>
            </a:ext>
          </a:extLst>
        </xdr:cNvPr>
        <xdr:cNvSpPr txBox="1"/>
      </xdr:nvSpPr>
      <xdr:spPr>
        <a:xfrm>
          <a:off x="10833735" y="26412825"/>
          <a:ext cx="3555927"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741250"/>
    <xdr:sp macro="" textlink="">
      <xdr:nvSpPr>
        <xdr:cNvPr id="405" name="TextBox 404">
          <a:extLst>
            <a:ext uri="{FF2B5EF4-FFF2-40B4-BE49-F238E27FC236}">
              <a16:creationId xmlns:a16="http://schemas.microsoft.com/office/drawing/2014/main" id="{00000000-0008-0000-0200-000095010000}"/>
            </a:ext>
          </a:extLst>
        </xdr:cNvPr>
        <xdr:cNvSpPr txBox="1"/>
      </xdr:nvSpPr>
      <xdr:spPr>
        <a:xfrm>
          <a:off x="30274260" y="26412825"/>
          <a:ext cx="3556010"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7719" cy="1679418"/>
    <xdr:sp macro="" textlink="">
      <xdr:nvSpPr>
        <xdr:cNvPr id="406" name="TextBox 405">
          <a:extLst>
            <a:ext uri="{FF2B5EF4-FFF2-40B4-BE49-F238E27FC236}">
              <a16:creationId xmlns:a16="http://schemas.microsoft.com/office/drawing/2014/main" id="{00000000-0008-0000-0200-000096010000}"/>
            </a:ext>
          </a:extLst>
        </xdr:cNvPr>
        <xdr:cNvSpPr txBox="1"/>
      </xdr:nvSpPr>
      <xdr:spPr>
        <a:xfrm>
          <a:off x="5943600" y="22574250"/>
          <a:ext cx="3537719"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7719" cy="1747852"/>
    <xdr:sp macro="" textlink="">
      <xdr:nvSpPr>
        <xdr:cNvPr id="407" name="TextBox 406">
          <a:extLst>
            <a:ext uri="{FF2B5EF4-FFF2-40B4-BE49-F238E27FC236}">
              <a16:creationId xmlns:a16="http://schemas.microsoft.com/office/drawing/2014/main" id="{00000000-0008-0000-0200-000097010000}"/>
            </a:ext>
          </a:extLst>
        </xdr:cNvPr>
        <xdr:cNvSpPr txBox="1"/>
      </xdr:nvSpPr>
      <xdr:spPr>
        <a:xfrm>
          <a:off x="5943600" y="18202275"/>
          <a:ext cx="3537719"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7719" cy="1672229"/>
    <xdr:sp macro="" textlink="">
      <xdr:nvSpPr>
        <xdr:cNvPr id="408" name="TextBox 407">
          <a:extLst>
            <a:ext uri="{FF2B5EF4-FFF2-40B4-BE49-F238E27FC236}">
              <a16:creationId xmlns:a16="http://schemas.microsoft.com/office/drawing/2014/main" id="{00000000-0008-0000-0200-000098010000}"/>
            </a:ext>
          </a:extLst>
        </xdr:cNvPr>
        <xdr:cNvSpPr txBox="1"/>
      </xdr:nvSpPr>
      <xdr:spPr>
        <a:xfrm>
          <a:off x="5943600" y="22574250"/>
          <a:ext cx="3537719"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409" name="TextBox 408">
          <a:extLst>
            <a:ext uri="{FF2B5EF4-FFF2-40B4-BE49-F238E27FC236}">
              <a16:creationId xmlns:a16="http://schemas.microsoft.com/office/drawing/2014/main" id="{00000000-0008-0000-0200-000099010000}"/>
            </a:ext>
          </a:extLst>
        </xdr:cNvPr>
        <xdr:cNvSpPr txBox="1"/>
      </xdr:nvSpPr>
      <xdr:spPr>
        <a:xfrm>
          <a:off x="8261985" y="2257425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382" cy="1755464"/>
    <xdr:sp macro="" textlink="">
      <xdr:nvSpPr>
        <xdr:cNvPr id="410" name="TextBox 409">
          <a:extLst>
            <a:ext uri="{FF2B5EF4-FFF2-40B4-BE49-F238E27FC236}">
              <a16:creationId xmlns:a16="http://schemas.microsoft.com/office/drawing/2014/main" id="{00000000-0008-0000-0200-00009A010000}"/>
            </a:ext>
          </a:extLst>
        </xdr:cNvPr>
        <xdr:cNvSpPr txBox="1"/>
      </xdr:nvSpPr>
      <xdr:spPr>
        <a:xfrm>
          <a:off x="15462885" y="18202275"/>
          <a:ext cx="3544382"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382" cy="1672229"/>
    <xdr:sp macro="" textlink="">
      <xdr:nvSpPr>
        <xdr:cNvPr id="411" name="TextBox 410">
          <a:extLst>
            <a:ext uri="{FF2B5EF4-FFF2-40B4-BE49-F238E27FC236}">
              <a16:creationId xmlns:a16="http://schemas.microsoft.com/office/drawing/2014/main" id="{00000000-0008-0000-0200-00009B010000}"/>
            </a:ext>
          </a:extLst>
        </xdr:cNvPr>
        <xdr:cNvSpPr txBox="1"/>
      </xdr:nvSpPr>
      <xdr:spPr>
        <a:xfrm>
          <a:off x="15462885" y="22574250"/>
          <a:ext cx="3544382"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412" name="TextBox 411">
          <a:extLst>
            <a:ext uri="{FF2B5EF4-FFF2-40B4-BE49-F238E27FC236}">
              <a16:creationId xmlns:a16="http://schemas.microsoft.com/office/drawing/2014/main" id="{00000000-0008-0000-0200-00009C010000}"/>
            </a:ext>
          </a:extLst>
        </xdr:cNvPr>
        <xdr:cNvSpPr txBox="1"/>
      </xdr:nvSpPr>
      <xdr:spPr>
        <a:xfrm>
          <a:off x="14691360" y="2257425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55464"/>
    <xdr:sp macro="" textlink="">
      <xdr:nvSpPr>
        <xdr:cNvPr id="413" name="TextBox 412">
          <a:extLst>
            <a:ext uri="{FF2B5EF4-FFF2-40B4-BE49-F238E27FC236}">
              <a16:creationId xmlns:a16="http://schemas.microsoft.com/office/drawing/2014/main" id="{00000000-0008-0000-0200-00009D010000}"/>
            </a:ext>
          </a:extLst>
        </xdr:cNvPr>
        <xdr:cNvSpPr txBox="1"/>
      </xdr:nvSpPr>
      <xdr:spPr>
        <a:xfrm>
          <a:off x="26940510" y="18202275"/>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414" name="TextBox 413">
          <a:extLst>
            <a:ext uri="{FF2B5EF4-FFF2-40B4-BE49-F238E27FC236}">
              <a16:creationId xmlns:a16="http://schemas.microsoft.com/office/drawing/2014/main" id="{00000000-0008-0000-0200-00009E010000}"/>
            </a:ext>
          </a:extLst>
        </xdr:cNvPr>
        <xdr:cNvSpPr txBox="1"/>
      </xdr:nvSpPr>
      <xdr:spPr>
        <a:xfrm>
          <a:off x="26940510" y="2257425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2831" cy="1672229"/>
    <xdr:sp macro="" textlink="">
      <xdr:nvSpPr>
        <xdr:cNvPr id="415" name="TextBox 414">
          <a:extLst>
            <a:ext uri="{FF2B5EF4-FFF2-40B4-BE49-F238E27FC236}">
              <a16:creationId xmlns:a16="http://schemas.microsoft.com/office/drawing/2014/main" id="{00000000-0008-0000-0200-00009F010000}"/>
            </a:ext>
          </a:extLst>
        </xdr:cNvPr>
        <xdr:cNvSpPr txBox="1"/>
      </xdr:nvSpPr>
      <xdr:spPr>
        <a:xfrm>
          <a:off x="20983575" y="22574250"/>
          <a:ext cx="3532831"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55464"/>
    <xdr:sp macro="" textlink="">
      <xdr:nvSpPr>
        <xdr:cNvPr id="416" name="TextBox 415">
          <a:extLst>
            <a:ext uri="{FF2B5EF4-FFF2-40B4-BE49-F238E27FC236}">
              <a16:creationId xmlns:a16="http://schemas.microsoft.com/office/drawing/2014/main" id="{00000000-0008-0000-0200-0000A0010000}"/>
            </a:ext>
          </a:extLst>
        </xdr:cNvPr>
        <xdr:cNvSpPr txBox="1"/>
      </xdr:nvSpPr>
      <xdr:spPr>
        <a:xfrm>
          <a:off x="18034635" y="18202275"/>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417" name="TextBox 416">
          <a:extLst>
            <a:ext uri="{FF2B5EF4-FFF2-40B4-BE49-F238E27FC236}">
              <a16:creationId xmlns:a16="http://schemas.microsoft.com/office/drawing/2014/main" id="{00000000-0008-0000-0200-0000A1010000}"/>
            </a:ext>
          </a:extLst>
        </xdr:cNvPr>
        <xdr:cNvSpPr txBox="1"/>
      </xdr:nvSpPr>
      <xdr:spPr>
        <a:xfrm>
          <a:off x="18034635" y="2257425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382" cy="1741250"/>
    <xdr:sp macro="" textlink="">
      <xdr:nvSpPr>
        <xdr:cNvPr id="418" name="TextBox 417">
          <a:extLst>
            <a:ext uri="{FF2B5EF4-FFF2-40B4-BE49-F238E27FC236}">
              <a16:creationId xmlns:a16="http://schemas.microsoft.com/office/drawing/2014/main" id="{00000000-0008-0000-0200-0000A2010000}"/>
            </a:ext>
          </a:extLst>
        </xdr:cNvPr>
        <xdr:cNvSpPr txBox="1"/>
      </xdr:nvSpPr>
      <xdr:spPr>
        <a:xfrm>
          <a:off x="14948535" y="29136975"/>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41250"/>
    <xdr:sp macro="" textlink="">
      <xdr:nvSpPr>
        <xdr:cNvPr id="419" name="TextBox 418">
          <a:extLst>
            <a:ext uri="{FF2B5EF4-FFF2-40B4-BE49-F238E27FC236}">
              <a16:creationId xmlns:a16="http://schemas.microsoft.com/office/drawing/2014/main" id="{00000000-0008-0000-0200-0000A3010000}"/>
            </a:ext>
          </a:extLst>
        </xdr:cNvPr>
        <xdr:cNvSpPr txBox="1"/>
      </xdr:nvSpPr>
      <xdr:spPr>
        <a:xfrm>
          <a:off x="25988010" y="29136975"/>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382" cy="1741250"/>
    <xdr:sp macro="" textlink="">
      <xdr:nvSpPr>
        <xdr:cNvPr id="421" name="TextBox 420">
          <a:extLst>
            <a:ext uri="{FF2B5EF4-FFF2-40B4-BE49-F238E27FC236}">
              <a16:creationId xmlns:a16="http://schemas.microsoft.com/office/drawing/2014/main" id="{00000000-0008-0000-0200-0000A5010000}"/>
            </a:ext>
          </a:extLst>
        </xdr:cNvPr>
        <xdr:cNvSpPr txBox="1"/>
      </xdr:nvSpPr>
      <xdr:spPr>
        <a:xfrm>
          <a:off x="14948535" y="26412825"/>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41250"/>
    <xdr:sp macro="" textlink="">
      <xdr:nvSpPr>
        <xdr:cNvPr id="422" name="TextBox 421">
          <a:extLst>
            <a:ext uri="{FF2B5EF4-FFF2-40B4-BE49-F238E27FC236}">
              <a16:creationId xmlns:a16="http://schemas.microsoft.com/office/drawing/2014/main" id="{00000000-0008-0000-0200-0000A6010000}"/>
            </a:ext>
          </a:extLst>
        </xdr:cNvPr>
        <xdr:cNvSpPr txBox="1"/>
      </xdr:nvSpPr>
      <xdr:spPr>
        <a:xfrm>
          <a:off x="25988010" y="26412825"/>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41250"/>
    <xdr:sp macro="" textlink="">
      <xdr:nvSpPr>
        <xdr:cNvPr id="423" name="TextBox 422">
          <a:extLst>
            <a:ext uri="{FF2B5EF4-FFF2-40B4-BE49-F238E27FC236}">
              <a16:creationId xmlns:a16="http://schemas.microsoft.com/office/drawing/2014/main" id="{00000000-0008-0000-0200-0000A7010000}"/>
            </a:ext>
          </a:extLst>
        </xdr:cNvPr>
        <xdr:cNvSpPr txBox="1"/>
      </xdr:nvSpPr>
      <xdr:spPr>
        <a:xfrm>
          <a:off x="17520285" y="26412825"/>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683569"/>
    <xdr:sp macro="" textlink="">
      <xdr:nvSpPr>
        <xdr:cNvPr id="424" name="TextBox 423">
          <a:extLst>
            <a:ext uri="{FF2B5EF4-FFF2-40B4-BE49-F238E27FC236}">
              <a16:creationId xmlns:a16="http://schemas.microsoft.com/office/drawing/2014/main" id="{00000000-0008-0000-0200-0000A8010000}"/>
            </a:ext>
          </a:extLst>
        </xdr:cNvPr>
        <xdr:cNvSpPr txBox="1"/>
      </xdr:nvSpPr>
      <xdr:spPr>
        <a:xfrm>
          <a:off x="24102060" y="22974300"/>
          <a:ext cx="3529844" cy="168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744986"/>
    <xdr:sp macro="" textlink="">
      <xdr:nvSpPr>
        <xdr:cNvPr id="425" name="TextBox 424">
          <a:extLst>
            <a:ext uri="{FF2B5EF4-FFF2-40B4-BE49-F238E27FC236}">
              <a16:creationId xmlns:a16="http://schemas.microsoft.com/office/drawing/2014/main" id="{00000000-0008-0000-0200-0000A9010000}"/>
            </a:ext>
          </a:extLst>
        </xdr:cNvPr>
        <xdr:cNvSpPr txBox="1"/>
      </xdr:nvSpPr>
      <xdr:spPr>
        <a:xfrm>
          <a:off x="24102060" y="18402300"/>
          <a:ext cx="3529844" cy="1744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676302"/>
    <xdr:sp macro="" textlink="">
      <xdr:nvSpPr>
        <xdr:cNvPr id="426" name="TextBox 425">
          <a:extLst>
            <a:ext uri="{FF2B5EF4-FFF2-40B4-BE49-F238E27FC236}">
              <a16:creationId xmlns:a16="http://schemas.microsoft.com/office/drawing/2014/main" id="{00000000-0008-0000-0200-0000AA010000}"/>
            </a:ext>
          </a:extLst>
        </xdr:cNvPr>
        <xdr:cNvSpPr txBox="1"/>
      </xdr:nvSpPr>
      <xdr:spPr>
        <a:xfrm>
          <a:off x="24102060" y="22974300"/>
          <a:ext cx="3529844"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427" name="TextBox 426">
          <a:extLst>
            <a:ext uri="{FF2B5EF4-FFF2-40B4-BE49-F238E27FC236}">
              <a16:creationId xmlns:a16="http://schemas.microsoft.com/office/drawing/2014/main" id="{00000000-0008-0000-0200-0000AB01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42629"/>
    <xdr:sp macro="" textlink="">
      <xdr:nvSpPr>
        <xdr:cNvPr id="428" name="TextBox 427">
          <a:extLst>
            <a:ext uri="{FF2B5EF4-FFF2-40B4-BE49-F238E27FC236}">
              <a16:creationId xmlns:a16="http://schemas.microsoft.com/office/drawing/2014/main" id="{00000000-0008-0000-0200-0000AC010000}"/>
            </a:ext>
          </a:extLst>
        </xdr:cNvPr>
        <xdr:cNvSpPr txBox="1"/>
      </xdr:nvSpPr>
      <xdr:spPr>
        <a:xfrm>
          <a:off x="24102060" y="18402300"/>
          <a:ext cx="3542843"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676302"/>
    <xdr:sp macro="" textlink="">
      <xdr:nvSpPr>
        <xdr:cNvPr id="429" name="TextBox 428">
          <a:extLst>
            <a:ext uri="{FF2B5EF4-FFF2-40B4-BE49-F238E27FC236}">
              <a16:creationId xmlns:a16="http://schemas.microsoft.com/office/drawing/2014/main" id="{00000000-0008-0000-0200-0000AD010000}"/>
            </a:ext>
          </a:extLst>
        </xdr:cNvPr>
        <xdr:cNvSpPr txBox="1"/>
      </xdr:nvSpPr>
      <xdr:spPr>
        <a:xfrm>
          <a:off x="24102060" y="22974300"/>
          <a:ext cx="354284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430" name="TextBox 429">
          <a:extLst>
            <a:ext uri="{FF2B5EF4-FFF2-40B4-BE49-F238E27FC236}">
              <a16:creationId xmlns:a16="http://schemas.microsoft.com/office/drawing/2014/main" id="{00000000-0008-0000-0200-0000AE01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431" name="TextBox 430">
          <a:extLst>
            <a:ext uri="{FF2B5EF4-FFF2-40B4-BE49-F238E27FC236}">
              <a16:creationId xmlns:a16="http://schemas.microsoft.com/office/drawing/2014/main" id="{00000000-0008-0000-0200-0000AF010000}"/>
            </a:ext>
          </a:extLst>
        </xdr:cNvPr>
        <xdr:cNvSpPr txBox="1"/>
      </xdr:nvSpPr>
      <xdr:spPr>
        <a:xfrm>
          <a:off x="24102060" y="18402300"/>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432" name="TextBox 431">
          <a:extLst>
            <a:ext uri="{FF2B5EF4-FFF2-40B4-BE49-F238E27FC236}">
              <a16:creationId xmlns:a16="http://schemas.microsoft.com/office/drawing/2014/main" id="{00000000-0008-0000-0200-0000B001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1363" cy="1676302"/>
    <xdr:sp macro="" textlink="">
      <xdr:nvSpPr>
        <xdr:cNvPr id="433" name="TextBox 432">
          <a:extLst>
            <a:ext uri="{FF2B5EF4-FFF2-40B4-BE49-F238E27FC236}">
              <a16:creationId xmlns:a16="http://schemas.microsoft.com/office/drawing/2014/main" id="{00000000-0008-0000-0200-0000B1010000}"/>
            </a:ext>
          </a:extLst>
        </xdr:cNvPr>
        <xdr:cNvSpPr txBox="1"/>
      </xdr:nvSpPr>
      <xdr:spPr>
        <a:xfrm>
          <a:off x="24102060" y="22974300"/>
          <a:ext cx="353136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445197" cy="1676302"/>
    <xdr:sp macro="" textlink="">
      <xdr:nvSpPr>
        <xdr:cNvPr id="434" name="TextBox 433">
          <a:extLst>
            <a:ext uri="{FF2B5EF4-FFF2-40B4-BE49-F238E27FC236}">
              <a16:creationId xmlns:a16="http://schemas.microsoft.com/office/drawing/2014/main" id="{00000000-0008-0000-0200-0000B2010000}"/>
            </a:ext>
          </a:extLst>
        </xdr:cNvPr>
        <xdr:cNvSpPr txBox="1"/>
      </xdr:nvSpPr>
      <xdr:spPr>
        <a:xfrm>
          <a:off x="24102060" y="22974300"/>
          <a:ext cx="3445197"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435" name="TextBox 434">
          <a:extLst>
            <a:ext uri="{FF2B5EF4-FFF2-40B4-BE49-F238E27FC236}">
              <a16:creationId xmlns:a16="http://schemas.microsoft.com/office/drawing/2014/main" id="{00000000-0008-0000-0200-0000B3010000}"/>
            </a:ext>
          </a:extLst>
        </xdr:cNvPr>
        <xdr:cNvSpPr txBox="1"/>
      </xdr:nvSpPr>
      <xdr:spPr>
        <a:xfrm>
          <a:off x="24102060" y="18402300"/>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436" name="TextBox 435">
          <a:extLst>
            <a:ext uri="{FF2B5EF4-FFF2-40B4-BE49-F238E27FC236}">
              <a16:creationId xmlns:a16="http://schemas.microsoft.com/office/drawing/2014/main" id="{00000000-0008-0000-0200-0000B401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76039"/>
    <xdr:sp macro="" textlink="">
      <xdr:nvSpPr>
        <xdr:cNvPr id="437" name="TextBox 436">
          <a:extLst>
            <a:ext uri="{FF2B5EF4-FFF2-40B4-BE49-F238E27FC236}">
              <a16:creationId xmlns:a16="http://schemas.microsoft.com/office/drawing/2014/main" id="{00000000-0008-0000-0200-0000B5010000}"/>
            </a:ext>
          </a:extLst>
        </xdr:cNvPr>
        <xdr:cNvSpPr txBox="1"/>
      </xdr:nvSpPr>
      <xdr:spPr>
        <a:xfrm>
          <a:off x="24102060" y="26753820"/>
          <a:ext cx="3542843"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438" name="TextBox 437">
          <a:extLst>
            <a:ext uri="{FF2B5EF4-FFF2-40B4-BE49-F238E27FC236}">
              <a16:creationId xmlns:a16="http://schemas.microsoft.com/office/drawing/2014/main" id="{00000000-0008-0000-0200-0000B6010000}"/>
            </a:ext>
          </a:extLst>
        </xdr:cNvPr>
        <xdr:cNvSpPr txBox="1"/>
      </xdr:nvSpPr>
      <xdr:spPr>
        <a:xfrm>
          <a:off x="24102060" y="2675382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439" name="TextBox 438">
          <a:extLst>
            <a:ext uri="{FF2B5EF4-FFF2-40B4-BE49-F238E27FC236}">
              <a16:creationId xmlns:a16="http://schemas.microsoft.com/office/drawing/2014/main" id="{00000000-0008-0000-0200-0000B7010000}"/>
            </a:ext>
          </a:extLst>
        </xdr:cNvPr>
        <xdr:cNvSpPr txBox="1"/>
      </xdr:nvSpPr>
      <xdr:spPr>
        <a:xfrm>
          <a:off x="24102060" y="2675382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620421"/>
    <xdr:sp macro="" textlink="">
      <xdr:nvSpPr>
        <xdr:cNvPr id="440" name="TextBox 439">
          <a:extLst>
            <a:ext uri="{FF2B5EF4-FFF2-40B4-BE49-F238E27FC236}">
              <a16:creationId xmlns:a16="http://schemas.microsoft.com/office/drawing/2014/main" id="{00000000-0008-0000-0200-0000B8010000}"/>
            </a:ext>
          </a:extLst>
        </xdr:cNvPr>
        <xdr:cNvSpPr txBox="1"/>
      </xdr:nvSpPr>
      <xdr:spPr>
        <a:xfrm>
          <a:off x="24102060" y="22974300"/>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842257"/>
    <xdr:sp macro="" textlink="">
      <xdr:nvSpPr>
        <xdr:cNvPr id="441" name="TextBox 440">
          <a:extLst>
            <a:ext uri="{FF2B5EF4-FFF2-40B4-BE49-F238E27FC236}">
              <a16:creationId xmlns:a16="http://schemas.microsoft.com/office/drawing/2014/main" id="{00000000-0008-0000-0200-0000B9010000}"/>
            </a:ext>
          </a:extLst>
        </xdr:cNvPr>
        <xdr:cNvSpPr txBox="1"/>
      </xdr:nvSpPr>
      <xdr:spPr>
        <a:xfrm>
          <a:off x="24102060" y="18402300"/>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587258"/>
    <xdr:sp macro="" textlink="">
      <xdr:nvSpPr>
        <xdr:cNvPr id="442" name="TextBox 441">
          <a:extLst>
            <a:ext uri="{FF2B5EF4-FFF2-40B4-BE49-F238E27FC236}">
              <a16:creationId xmlns:a16="http://schemas.microsoft.com/office/drawing/2014/main" id="{00000000-0008-0000-0200-0000BA010000}"/>
            </a:ext>
          </a:extLst>
        </xdr:cNvPr>
        <xdr:cNvSpPr txBox="1"/>
      </xdr:nvSpPr>
      <xdr:spPr>
        <a:xfrm>
          <a:off x="24102060" y="22974300"/>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932" cy="1587258"/>
    <xdr:sp macro="" textlink="">
      <xdr:nvSpPr>
        <xdr:cNvPr id="443" name="TextBox 442">
          <a:extLst>
            <a:ext uri="{FF2B5EF4-FFF2-40B4-BE49-F238E27FC236}">
              <a16:creationId xmlns:a16="http://schemas.microsoft.com/office/drawing/2014/main" id="{00000000-0008-0000-0200-0000BB010000}"/>
            </a:ext>
          </a:extLst>
        </xdr:cNvPr>
        <xdr:cNvSpPr txBox="1"/>
      </xdr:nvSpPr>
      <xdr:spPr>
        <a:xfrm>
          <a:off x="24102060" y="22974300"/>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444" name="TextBox 443">
          <a:extLst>
            <a:ext uri="{FF2B5EF4-FFF2-40B4-BE49-F238E27FC236}">
              <a16:creationId xmlns:a16="http://schemas.microsoft.com/office/drawing/2014/main" id="{00000000-0008-0000-0200-0000BC010000}"/>
            </a:ext>
          </a:extLst>
        </xdr:cNvPr>
        <xdr:cNvSpPr txBox="1"/>
      </xdr:nvSpPr>
      <xdr:spPr>
        <a:xfrm>
          <a:off x="24102060" y="1840230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445" name="TextBox 444">
          <a:extLst>
            <a:ext uri="{FF2B5EF4-FFF2-40B4-BE49-F238E27FC236}">
              <a16:creationId xmlns:a16="http://schemas.microsoft.com/office/drawing/2014/main" id="{00000000-0008-0000-0200-0000BD010000}"/>
            </a:ext>
          </a:extLst>
        </xdr:cNvPr>
        <xdr:cNvSpPr txBox="1"/>
      </xdr:nvSpPr>
      <xdr:spPr>
        <a:xfrm>
          <a:off x="24102060" y="2297430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593" cy="1587258"/>
    <xdr:sp macro="" textlink="">
      <xdr:nvSpPr>
        <xdr:cNvPr id="446" name="TextBox 445">
          <a:extLst>
            <a:ext uri="{FF2B5EF4-FFF2-40B4-BE49-F238E27FC236}">
              <a16:creationId xmlns:a16="http://schemas.microsoft.com/office/drawing/2014/main" id="{00000000-0008-0000-0200-0000BE010000}"/>
            </a:ext>
          </a:extLst>
        </xdr:cNvPr>
        <xdr:cNvSpPr txBox="1"/>
      </xdr:nvSpPr>
      <xdr:spPr>
        <a:xfrm>
          <a:off x="24102060" y="22974300"/>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8203" cy="1587258"/>
    <xdr:sp macro="" textlink="">
      <xdr:nvSpPr>
        <xdr:cNvPr id="447" name="TextBox 446">
          <a:extLst>
            <a:ext uri="{FF2B5EF4-FFF2-40B4-BE49-F238E27FC236}">
              <a16:creationId xmlns:a16="http://schemas.microsoft.com/office/drawing/2014/main" id="{00000000-0008-0000-0200-0000BF010000}"/>
            </a:ext>
          </a:extLst>
        </xdr:cNvPr>
        <xdr:cNvSpPr txBox="1"/>
      </xdr:nvSpPr>
      <xdr:spPr>
        <a:xfrm>
          <a:off x="24102060" y="22974300"/>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448" name="TextBox 447">
          <a:extLst>
            <a:ext uri="{FF2B5EF4-FFF2-40B4-BE49-F238E27FC236}">
              <a16:creationId xmlns:a16="http://schemas.microsoft.com/office/drawing/2014/main" id="{00000000-0008-0000-0200-0000C0010000}"/>
            </a:ext>
          </a:extLst>
        </xdr:cNvPr>
        <xdr:cNvSpPr txBox="1"/>
      </xdr:nvSpPr>
      <xdr:spPr>
        <a:xfrm>
          <a:off x="24102060" y="1840230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449" name="TextBox 448">
          <a:extLst>
            <a:ext uri="{FF2B5EF4-FFF2-40B4-BE49-F238E27FC236}">
              <a16:creationId xmlns:a16="http://schemas.microsoft.com/office/drawing/2014/main" id="{00000000-0008-0000-0200-0000C1010000}"/>
            </a:ext>
          </a:extLst>
        </xdr:cNvPr>
        <xdr:cNvSpPr txBox="1"/>
      </xdr:nvSpPr>
      <xdr:spPr>
        <a:xfrm>
          <a:off x="24102060" y="2297430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450" name="TextBox 449">
          <a:extLst>
            <a:ext uri="{FF2B5EF4-FFF2-40B4-BE49-F238E27FC236}">
              <a16:creationId xmlns:a16="http://schemas.microsoft.com/office/drawing/2014/main" id="{00000000-0008-0000-0200-0000C2010000}"/>
            </a:ext>
          </a:extLst>
        </xdr:cNvPr>
        <xdr:cNvSpPr txBox="1"/>
      </xdr:nvSpPr>
      <xdr:spPr>
        <a:xfrm>
          <a:off x="24102060" y="2675382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451" name="TextBox 450">
          <a:extLst>
            <a:ext uri="{FF2B5EF4-FFF2-40B4-BE49-F238E27FC236}">
              <a16:creationId xmlns:a16="http://schemas.microsoft.com/office/drawing/2014/main" id="{00000000-0008-0000-0200-0000C3010000}"/>
            </a:ext>
          </a:extLst>
        </xdr:cNvPr>
        <xdr:cNvSpPr txBox="1"/>
      </xdr:nvSpPr>
      <xdr:spPr>
        <a:xfrm>
          <a:off x="24102060" y="2675382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222"/>
    <xdr:sp macro="" textlink="">
      <xdr:nvSpPr>
        <xdr:cNvPr id="452" name="TextBox 451">
          <a:extLst>
            <a:ext uri="{FF2B5EF4-FFF2-40B4-BE49-F238E27FC236}">
              <a16:creationId xmlns:a16="http://schemas.microsoft.com/office/drawing/2014/main" id="{00000000-0008-0000-0200-0000C4010000}"/>
            </a:ext>
          </a:extLst>
        </xdr:cNvPr>
        <xdr:cNvSpPr txBox="1"/>
      </xdr:nvSpPr>
      <xdr:spPr>
        <a:xfrm>
          <a:off x="24102060" y="22974300"/>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748771"/>
    <xdr:sp macro="" textlink="">
      <xdr:nvSpPr>
        <xdr:cNvPr id="453" name="TextBox 452">
          <a:extLst>
            <a:ext uri="{FF2B5EF4-FFF2-40B4-BE49-F238E27FC236}">
              <a16:creationId xmlns:a16="http://schemas.microsoft.com/office/drawing/2014/main" id="{00000000-0008-0000-0200-0000C5010000}"/>
            </a:ext>
          </a:extLst>
        </xdr:cNvPr>
        <xdr:cNvSpPr txBox="1"/>
      </xdr:nvSpPr>
      <xdr:spPr>
        <a:xfrm>
          <a:off x="24102060" y="18402300"/>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119"/>
    <xdr:sp macro="" textlink="">
      <xdr:nvSpPr>
        <xdr:cNvPr id="454" name="TextBox 453">
          <a:extLst>
            <a:ext uri="{FF2B5EF4-FFF2-40B4-BE49-F238E27FC236}">
              <a16:creationId xmlns:a16="http://schemas.microsoft.com/office/drawing/2014/main" id="{00000000-0008-0000-0200-0000C6010000}"/>
            </a:ext>
          </a:extLst>
        </xdr:cNvPr>
        <xdr:cNvSpPr txBox="1"/>
      </xdr:nvSpPr>
      <xdr:spPr>
        <a:xfrm>
          <a:off x="24102060" y="22974300"/>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114" cy="1662119"/>
    <xdr:sp macro="" textlink="">
      <xdr:nvSpPr>
        <xdr:cNvPr id="455" name="TextBox 454">
          <a:extLst>
            <a:ext uri="{FF2B5EF4-FFF2-40B4-BE49-F238E27FC236}">
              <a16:creationId xmlns:a16="http://schemas.microsoft.com/office/drawing/2014/main" id="{00000000-0008-0000-0200-0000C7010000}"/>
            </a:ext>
          </a:extLst>
        </xdr:cNvPr>
        <xdr:cNvSpPr txBox="1"/>
      </xdr:nvSpPr>
      <xdr:spPr>
        <a:xfrm>
          <a:off x="24102060" y="22974300"/>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731221"/>
    <xdr:sp macro="" textlink="">
      <xdr:nvSpPr>
        <xdr:cNvPr id="456" name="TextBox 455">
          <a:extLst>
            <a:ext uri="{FF2B5EF4-FFF2-40B4-BE49-F238E27FC236}">
              <a16:creationId xmlns:a16="http://schemas.microsoft.com/office/drawing/2014/main" id="{00000000-0008-0000-0200-0000C8010000}"/>
            </a:ext>
          </a:extLst>
        </xdr:cNvPr>
        <xdr:cNvSpPr txBox="1"/>
      </xdr:nvSpPr>
      <xdr:spPr>
        <a:xfrm>
          <a:off x="24102060" y="18402300"/>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662119"/>
    <xdr:sp macro="" textlink="">
      <xdr:nvSpPr>
        <xdr:cNvPr id="457" name="TextBox 456">
          <a:extLst>
            <a:ext uri="{FF2B5EF4-FFF2-40B4-BE49-F238E27FC236}">
              <a16:creationId xmlns:a16="http://schemas.microsoft.com/office/drawing/2014/main" id="{00000000-0008-0000-0200-0000C9010000}"/>
            </a:ext>
          </a:extLst>
        </xdr:cNvPr>
        <xdr:cNvSpPr txBox="1"/>
      </xdr:nvSpPr>
      <xdr:spPr>
        <a:xfrm>
          <a:off x="24102060" y="22974300"/>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458" name="TextBox 457">
          <a:extLst>
            <a:ext uri="{FF2B5EF4-FFF2-40B4-BE49-F238E27FC236}">
              <a16:creationId xmlns:a16="http://schemas.microsoft.com/office/drawing/2014/main" id="{00000000-0008-0000-0200-0000CA010000}"/>
            </a:ext>
          </a:extLst>
        </xdr:cNvPr>
        <xdr:cNvSpPr txBox="1"/>
      </xdr:nvSpPr>
      <xdr:spPr>
        <a:xfrm>
          <a:off x="24102060" y="2297430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731221"/>
    <xdr:sp macro="" textlink="">
      <xdr:nvSpPr>
        <xdr:cNvPr id="459" name="TextBox 458">
          <a:extLst>
            <a:ext uri="{FF2B5EF4-FFF2-40B4-BE49-F238E27FC236}">
              <a16:creationId xmlns:a16="http://schemas.microsoft.com/office/drawing/2014/main" id="{00000000-0008-0000-0200-0000CB010000}"/>
            </a:ext>
          </a:extLst>
        </xdr:cNvPr>
        <xdr:cNvSpPr txBox="1"/>
      </xdr:nvSpPr>
      <xdr:spPr>
        <a:xfrm>
          <a:off x="24102060" y="18402300"/>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460" name="TextBox 459">
          <a:extLst>
            <a:ext uri="{FF2B5EF4-FFF2-40B4-BE49-F238E27FC236}">
              <a16:creationId xmlns:a16="http://schemas.microsoft.com/office/drawing/2014/main" id="{00000000-0008-0000-0200-0000CC010000}"/>
            </a:ext>
          </a:extLst>
        </xdr:cNvPr>
        <xdr:cNvSpPr txBox="1"/>
      </xdr:nvSpPr>
      <xdr:spPr>
        <a:xfrm>
          <a:off x="24102060" y="2297430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4833" cy="1662119"/>
    <xdr:sp macro="" textlink="">
      <xdr:nvSpPr>
        <xdr:cNvPr id="461" name="TextBox 460">
          <a:extLst>
            <a:ext uri="{FF2B5EF4-FFF2-40B4-BE49-F238E27FC236}">
              <a16:creationId xmlns:a16="http://schemas.microsoft.com/office/drawing/2014/main" id="{00000000-0008-0000-0200-0000CD010000}"/>
            </a:ext>
          </a:extLst>
        </xdr:cNvPr>
        <xdr:cNvSpPr txBox="1"/>
      </xdr:nvSpPr>
      <xdr:spPr>
        <a:xfrm>
          <a:off x="24102060" y="22974300"/>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731221"/>
    <xdr:sp macro="" textlink="">
      <xdr:nvSpPr>
        <xdr:cNvPr id="462" name="TextBox 461">
          <a:extLst>
            <a:ext uri="{FF2B5EF4-FFF2-40B4-BE49-F238E27FC236}">
              <a16:creationId xmlns:a16="http://schemas.microsoft.com/office/drawing/2014/main" id="{00000000-0008-0000-0200-0000CE010000}"/>
            </a:ext>
          </a:extLst>
        </xdr:cNvPr>
        <xdr:cNvSpPr txBox="1"/>
      </xdr:nvSpPr>
      <xdr:spPr>
        <a:xfrm>
          <a:off x="24102060" y="18402300"/>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119"/>
    <xdr:sp macro="" textlink="">
      <xdr:nvSpPr>
        <xdr:cNvPr id="463" name="TextBox 462">
          <a:extLst>
            <a:ext uri="{FF2B5EF4-FFF2-40B4-BE49-F238E27FC236}">
              <a16:creationId xmlns:a16="http://schemas.microsoft.com/office/drawing/2014/main" id="{00000000-0008-0000-0200-0000CF010000}"/>
            </a:ext>
          </a:extLst>
        </xdr:cNvPr>
        <xdr:cNvSpPr txBox="1"/>
      </xdr:nvSpPr>
      <xdr:spPr>
        <a:xfrm>
          <a:off x="24102060" y="22974300"/>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877" cy="1662343"/>
    <xdr:sp macro="" textlink="">
      <xdr:nvSpPr>
        <xdr:cNvPr id="464" name="TextBox 463">
          <a:extLst>
            <a:ext uri="{FF2B5EF4-FFF2-40B4-BE49-F238E27FC236}">
              <a16:creationId xmlns:a16="http://schemas.microsoft.com/office/drawing/2014/main" id="{00000000-0008-0000-0200-0000D0010000}"/>
            </a:ext>
          </a:extLst>
        </xdr:cNvPr>
        <xdr:cNvSpPr txBox="1"/>
      </xdr:nvSpPr>
      <xdr:spPr>
        <a:xfrm>
          <a:off x="24102060" y="26753820"/>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343"/>
    <xdr:sp macro="" textlink="">
      <xdr:nvSpPr>
        <xdr:cNvPr id="465" name="TextBox 464">
          <a:extLst>
            <a:ext uri="{FF2B5EF4-FFF2-40B4-BE49-F238E27FC236}">
              <a16:creationId xmlns:a16="http://schemas.microsoft.com/office/drawing/2014/main" id="{00000000-0008-0000-0200-0000D1010000}"/>
            </a:ext>
          </a:extLst>
        </xdr:cNvPr>
        <xdr:cNvSpPr txBox="1"/>
      </xdr:nvSpPr>
      <xdr:spPr>
        <a:xfrm>
          <a:off x="24102060" y="26753820"/>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343"/>
    <xdr:sp macro="" textlink="">
      <xdr:nvSpPr>
        <xdr:cNvPr id="466" name="TextBox 465">
          <a:extLst>
            <a:ext uri="{FF2B5EF4-FFF2-40B4-BE49-F238E27FC236}">
              <a16:creationId xmlns:a16="http://schemas.microsoft.com/office/drawing/2014/main" id="{00000000-0008-0000-0200-0000D2010000}"/>
            </a:ext>
          </a:extLst>
        </xdr:cNvPr>
        <xdr:cNvSpPr txBox="1"/>
      </xdr:nvSpPr>
      <xdr:spPr>
        <a:xfrm>
          <a:off x="24102060" y="26753820"/>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934"/>
    <xdr:sp macro="" textlink="">
      <xdr:nvSpPr>
        <xdr:cNvPr id="467" name="TextBox 466">
          <a:extLst>
            <a:ext uri="{FF2B5EF4-FFF2-40B4-BE49-F238E27FC236}">
              <a16:creationId xmlns:a16="http://schemas.microsoft.com/office/drawing/2014/main" id="{00000000-0008-0000-0200-0000D3010000}"/>
            </a:ext>
          </a:extLst>
        </xdr:cNvPr>
        <xdr:cNvSpPr txBox="1"/>
      </xdr:nvSpPr>
      <xdr:spPr>
        <a:xfrm>
          <a:off x="24102060" y="22974300"/>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742770"/>
    <xdr:sp macro="" textlink="">
      <xdr:nvSpPr>
        <xdr:cNvPr id="468" name="TextBox 467">
          <a:extLst>
            <a:ext uri="{FF2B5EF4-FFF2-40B4-BE49-F238E27FC236}">
              <a16:creationId xmlns:a16="http://schemas.microsoft.com/office/drawing/2014/main" id="{00000000-0008-0000-0200-0000D4010000}"/>
            </a:ext>
          </a:extLst>
        </xdr:cNvPr>
        <xdr:cNvSpPr txBox="1"/>
      </xdr:nvSpPr>
      <xdr:spPr>
        <a:xfrm>
          <a:off x="24102060" y="18402300"/>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831"/>
    <xdr:sp macro="" textlink="">
      <xdr:nvSpPr>
        <xdr:cNvPr id="469" name="TextBox 468">
          <a:extLst>
            <a:ext uri="{FF2B5EF4-FFF2-40B4-BE49-F238E27FC236}">
              <a16:creationId xmlns:a16="http://schemas.microsoft.com/office/drawing/2014/main" id="{00000000-0008-0000-0200-0000D5010000}"/>
            </a:ext>
          </a:extLst>
        </xdr:cNvPr>
        <xdr:cNvSpPr txBox="1"/>
      </xdr:nvSpPr>
      <xdr:spPr>
        <a:xfrm>
          <a:off x="24102060" y="22974300"/>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5023"/>
    <xdr:sp macro="" textlink="">
      <xdr:nvSpPr>
        <xdr:cNvPr id="470" name="TextBox 469">
          <a:extLst>
            <a:ext uri="{FF2B5EF4-FFF2-40B4-BE49-F238E27FC236}">
              <a16:creationId xmlns:a16="http://schemas.microsoft.com/office/drawing/2014/main" id="{00000000-0008-0000-0200-0000D6010000}"/>
            </a:ext>
          </a:extLst>
        </xdr:cNvPr>
        <xdr:cNvSpPr txBox="1"/>
      </xdr:nvSpPr>
      <xdr:spPr>
        <a:xfrm>
          <a:off x="24102060" y="22974300"/>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717993"/>
    <xdr:sp macro="" textlink="">
      <xdr:nvSpPr>
        <xdr:cNvPr id="471" name="TextBox 470">
          <a:extLst>
            <a:ext uri="{FF2B5EF4-FFF2-40B4-BE49-F238E27FC236}">
              <a16:creationId xmlns:a16="http://schemas.microsoft.com/office/drawing/2014/main" id="{00000000-0008-0000-0200-0000D7010000}"/>
            </a:ext>
          </a:extLst>
        </xdr:cNvPr>
        <xdr:cNvSpPr txBox="1"/>
      </xdr:nvSpPr>
      <xdr:spPr>
        <a:xfrm>
          <a:off x="24102060" y="18402300"/>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4935"/>
    <xdr:sp macro="" textlink="">
      <xdr:nvSpPr>
        <xdr:cNvPr id="472" name="TextBox 471">
          <a:extLst>
            <a:ext uri="{FF2B5EF4-FFF2-40B4-BE49-F238E27FC236}">
              <a16:creationId xmlns:a16="http://schemas.microsoft.com/office/drawing/2014/main" id="{00000000-0008-0000-0200-0000D8010000}"/>
            </a:ext>
          </a:extLst>
        </xdr:cNvPr>
        <xdr:cNvSpPr txBox="1"/>
      </xdr:nvSpPr>
      <xdr:spPr>
        <a:xfrm>
          <a:off x="24102060" y="22974300"/>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4773" cy="1434935"/>
    <xdr:sp macro="" textlink="">
      <xdr:nvSpPr>
        <xdr:cNvPr id="473" name="TextBox 472">
          <a:extLst>
            <a:ext uri="{FF2B5EF4-FFF2-40B4-BE49-F238E27FC236}">
              <a16:creationId xmlns:a16="http://schemas.microsoft.com/office/drawing/2014/main" id="{00000000-0008-0000-0200-0000D9010000}"/>
            </a:ext>
          </a:extLst>
        </xdr:cNvPr>
        <xdr:cNvSpPr txBox="1"/>
      </xdr:nvSpPr>
      <xdr:spPr>
        <a:xfrm>
          <a:off x="24102060" y="22974300"/>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474" name="TextBox 473">
          <a:extLst>
            <a:ext uri="{FF2B5EF4-FFF2-40B4-BE49-F238E27FC236}">
              <a16:creationId xmlns:a16="http://schemas.microsoft.com/office/drawing/2014/main" id="{00000000-0008-0000-0200-0000DA010000}"/>
            </a:ext>
          </a:extLst>
        </xdr:cNvPr>
        <xdr:cNvSpPr txBox="1"/>
      </xdr:nvSpPr>
      <xdr:spPr>
        <a:xfrm>
          <a:off x="24102060" y="2297430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475" name="TextBox 474">
          <a:extLst>
            <a:ext uri="{FF2B5EF4-FFF2-40B4-BE49-F238E27FC236}">
              <a16:creationId xmlns:a16="http://schemas.microsoft.com/office/drawing/2014/main" id="{00000000-0008-0000-0200-0000DB010000}"/>
            </a:ext>
          </a:extLst>
        </xdr:cNvPr>
        <xdr:cNvSpPr txBox="1"/>
      </xdr:nvSpPr>
      <xdr:spPr>
        <a:xfrm>
          <a:off x="24102060" y="1840230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476" name="TextBox 475">
          <a:extLst>
            <a:ext uri="{FF2B5EF4-FFF2-40B4-BE49-F238E27FC236}">
              <a16:creationId xmlns:a16="http://schemas.microsoft.com/office/drawing/2014/main" id="{00000000-0008-0000-0200-0000DC010000}"/>
            </a:ext>
          </a:extLst>
        </xdr:cNvPr>
        <xdr:cNvSpPr txBox="1"/>
      </xdr:nvSpPr>
      <xdr:spPr>
        <a:xfrm>
          <a:off x="24102060" y="2297430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477" name="TextBox 476">
          <a:extLst>
            <a:ext uri="{FF2B5EF4-FFF2-40B4-BE49-F238E27FC236}">
              <a16:creationId xmlns:a16="http://schemas.microsoft.com/office/drawing/2014/main" id="{00000000-0008-0000-0200-0000DD010000}"/>
            </a:ext>
          </a:extLst>
        </xdr:cNvPr>
        <xdr:cNvSpPr txBox="1"/>
      </xdr:nvSpPr>
      <xdr:spPr>
        <a:xfrm>
          <a:off x="24102060" y="2297430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478" name="TextBox 477">
          <a:extLst>
            <a:ext uri="{FF2B5EF4-FFF2-40B4-BE49-F238E27FC236}">
              <a16:creationId xmlns:a16="http://schemas.microsoft.com/office/drawing/2014/main" id="{00000000-0008-0000-0200-0000DE010000}"/>
            </a:ext>
          </a:extLst>
        </xdr:cNvPr>
        <xdr:cNvSpPr txBox="1"/>
      </xdr:nvSpPr>
      <xdr:spPr>
        <a:xfrm>
          <a:off x="24102060" y="1840230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479" name="TextBox 478">
          <a:extLst>
            <a:ext uri="{FF2B5EF4-FFF2-40B4-BE49-F238E27FC236}">
              <a16:creationId xmlns:a16="http://schemas.microsoft.com/office/drawing/2014/main" id="{00000000-0008-0000-0200-0000DF010000}"/>
            </a:ext>
          </a:extLst>
        </xdr:cNvPr>
        <xdr:cNvSpPr txBox="1"/>
      </xdr:nvSpPr>
      <xdr:spPr>
        <a:xfrm>
          <a:off x="24102060" y="2297430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480" name="TextBox 479">
          <a:extLst>
            <a:ext uri="{FF2B5EF4-FFF2-40B4-BE49-F238E27FC236}">
              <a16:creationId xmlns:a16="http://schemas.microsoft.com/office/drawing/2014/main" id="{00000000-0008-0000-0200-0000E0010000}"/>
            </a:ext>
          </a:extLst>
        </xdr:cNvPr>
        <xdr:cNvSpPr txBox="1"/>
      </xdr:nvSpPr>
      <xdr:spPr>
        <a:xfrm>
          <a:off x="24102060" y="2297430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481" name="TextBox 480">
          <a:extLst>
            <a:ext uri="{FF2B5EF4-FFF2-40B4-BE49-F238E27FC236}">
              <a16:creationId xmlns:a16="http://schemas.microsoft.com/office/drawing/2014/main" id="{00000000-0008-0000-0200-0000E1010000}"/>
            </a:ext>
          </a:extLst>
        </xdr:cNvPr>
        <xdr:cNvSpPr txBox="1"/>
      </xdr:nvSpPr>
      <xdr:spPr>
        <a:xfrm>
          <a:off x="24102060" y="2297430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746347"/>
    <xdr:sp macro="" textlink="">
      <xdr:nvSpPr>
        <xdr:cNvPr id="482" name="TextBox 481">
          <a:extLst>
            <a:ext uri="{FF2B5EF4-FFF2-40B4-BE49-F238E27FC236}">
              <a16:creationId xmlns:a16="http://schemas.microsoft.com/office/drawing/2014/main" id="{00000000-0008-0000-0200-0000E2010000}"/>
            </a:ext>
          </a:extLst>
        </xdr:cNvPr>
        <xdr:cNvSpPr txBox="1"/>
      </xdr:nvSpPr>
      <xdr:spPr>
        <a:xfrm>
          <a:off x="24102060" y="18402300"/>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661857"/>
    <xdr:sp macro="" textlink="">
      <xdr:nvSpPr>
        <xdr:cNvPr id="483" name="TextBox 482">
          <a:extLst>
            <a:ext uri="{FF2B5EF4-FFF2-40B4-BE49-F238E27FC236}">
              <a16:creationId xmlns:a16="http://schemas.microsoft.com/office/drawing/2014/main" id="{00000000-0008-0000-0200-0000E3010000}"/>
            </a:ext>
          </a:extLst>
        </xdr:cNvPr>
        <xdr:cNvSpPr txBox="1"/>
      </xdr:nvSpPr>
      <xdr:spPr>
        <a:xfrm>
          <a:off x="24102060" y="22974300"/>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178" cy="1661857"/>
    <xdr:sp macro="" textlink="">
      <xdr:nvSpPr>
        <xdr:cNvPr id="484" name="TextBox 483">
          <a:extLst>
            <a:ext uri="{FF2B5EF4-FFF2-40B4-BE49-F238E27FC236}">
              <a16:creationId xmlns:a16="http://schemas.microsoft.com/office/drawing/2014/main" id="{00000000-0008-0000-0200-0000E4010000}"/>
            </a:ext>
          </a:extLst>
        </xdr:cNvPr>
        <xdr:cNvSpPr txBox="1"/>
      </xdr:nvSpPr>
      <xdr:spPr>
        <a:xfrm>
          <a:off x="24102060" y="22974300"/>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9642" cy="1678802"/>
    <xdr:sp macro="" textlink="">
      <xdr:nvSpPr>
        <xdr:cNvPr id="485" name="TextBox 484">
          <a:extLst>
            <a:ext uri="{FF2B5EF4-FFF2-40B4-BE49-F238E27FC236}">
              <a16:creationId xmlns:a16="http://schemas.microsoft.com/office/drawing/2014/main" id="{00000000-0008-0000-0200-0000E5010000}"/>
            </a:ext>
          </a:extLst>
        </xdr:cNvPr>
        <xdr:cNvSpPr txBox="1"/>
      </xdr:nvSpPr>
      <xdr:spPr>
        <a:xfrm>
          <a:off x="24102060" y="26753820"/>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419"/>
    <xdr:sp macro="" textlink="">
      <xdr:nvSpPr>
        <xdr:cNvPr id="486" name="TextBox 485">
          <a:extLst>
            <a:ext uri="{FF2B5EF4-FFF2-40B4-BE49-F238E27FC236}">
              <a16:creationId xmlns:a16="http://schemas.microsoft.com/office/drawing/2014/main" id="{00000000-0008-0000-0200-0000E6010000}"/>
            </a:ext>
          </a:extLst>
        </xdr:cNvPr>
        <xdr:cNvSpPr txBox="1"/>
      </xdr:nvSpPr>
      <xdr:spPr>
        <a:xfrm>
          <a:off x="24102060" y="22974300"/>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759058"/>
    <xdr:sp macro="" textlink="">
      <xdr:nvSpPr>
        <xdr:cNvPr id="487" name="TextBox 486">
          <a:extLst>
            <a:ext uri="{FF2B5EF4-FFF2-40B4-BE49-F238E27FC236}">
              <a16:creationId xmlns:a16="http://schemas.microsoft.com/office/drawing/2014/main" id="{00000000-0008-0000-0200-0000E7010000}"/>
            </a:ext>
          </a:extLst>
        </xdr:cNvPr>
        <xdr:cNvSpPr txBox="1"/>
      </xdr:nvSpPr>
      <xdr:spPr>
        <a:xfrm>
          <a:off x="24102060" y="18402300"/>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316"/>
    <xdr:sp macro="" textlink="">
      <xdr:nvSpPr>
        <xdr:cNvPr id="488" name="TextBox 487">
          <a:extLst>
            <a:ext uri="{FF2B5EF4-FFF2-40B4-BE49-F238E27FC236}">
              <a16:creationId xmlns:a16="http://schemas.microsoft.com/office/drawing/2014/main" id="{00000000-0008-0000-0200-0000E8010000}"/>
            </a:ext>
          </a:extLst>
        </xdr:cNvPr>
        <xdr:cNvSpPr txBox="1"/>
      </xdr:nvSpPr>
      <xdr:spPr>
        <a:xfrm>
          <a:off x="24102060" y="22974300"/>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21" cy="1650316"/>
    <xdr:sp macro="" textlink="">
      <xdr:nvSpPr>
        <xdr:cNvPr id="489" name="TextBox 488">
          <a:extLst>
            <a:ext uri="{FF2B5EF4-FFF2-40B4-BE49-F238E27FC236}">
              <a16:creationId xmlns:a16="http://schemas.microsoft.com/office/drawing/2014/main" id="{00000000-0008-0000-0200-0000E9010000}"/>
            </a:ext>
          </a:extLst>
        </xdr:cNvPr>
        <xdr:cNvSpPr txBox="1"/>
      </xdr:nvSpPr>
      <xdr:spPr>
        <a:xfrm>
          <a:off x="24102060" y="22974300"/>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490" name="TextBox 489">
          <a:extLst>
            <a:ext uri="{FF2B5EF4-FFF2-40B4-BE49-F238E27FC236}">
              <a16:creationId xmlns:a16="http://schemas.microsoft.com/office/drawing/2014/main" id="{00000000-0008-0000-0200-0000EA010000}"/>
            </a:ext>
          </a:extLst>
        </xdr:cNvPr>
        <xdr:cNvSpPr txBox="1"/>
      </xdr:nvSpPr>
      <xdr:spPr>
        <a:xfrm>
          <a:off x="24102060" y="2297430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491" name="TextBox 490">
          <a:extLst>
            <a:ext uri="{FF2B5EF4-FFF2-40B4-BE49-F238E27FC236}">
              <a16:creationId xmlns:a16="http://schemas.microsoft.com/office/drawing/2014/main" id="{00000000-0008-0000-0200-0000EB010000}"/>
            </a:ext>
          </a:extLst>
        </xdr:cNvPr>
        <xdr:cNvSpPr txBox="1"/>
      </xdr:nvSpPr>
      <xdr:spPr>
        <a:xfrm>
          <a:off x="24102060" y="2675382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492" name="TextBox 491">
          <a:extLst>
            <a:ext uri="{FF2B5EF4-FFF2-40B4-BE49-F238E27FC236}">
              <a16:creationId xmlns:a16="http://schemas.microsoft.com/office/drawing/2014/main" id="{00000000-0008-0000-0200-0000EC010000}"/>
            </a:ext>
          </a:extLst>
        </xdr:cNvPr>
        <xdr:cNvSpPr txBox="1"/>
      </xdr:nvSpPr>
      <xdr:spPr>
        <a:xfrm>
          <a:off x="24102060" y="2675382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2021"/>
    <xdr:sp macro="" textlink="">
      <xdr:nvSpPr>
        <xdr:cNvPr id="493" name="TextBox 492">
          <a:extLst>
            <a:ext uri="{FF2B5EF4-FFF2-40B4-BE49-F238E27FC236}">
              <a16:creationId xmlns:a16="http://schemas.microsoft.com/office/drawing/2014/main" id="{00000000-0008-0000-0200-0000ED010000}"/>
            </a:ext>
          </a:extLst>
        </xdr:cNvPr>
        <xdr:cNvSpPr txBox="1"/>
      </xdr:nvSpPr>
      <xdr:spPr>
        <a:xfrm>
          <a:off x="24102060" y="22974300"/>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748948"/>
    <xdr:sp macro="" textlink="">
      <xdr:nvSpPr>
        <xdr:cNvPr id="494" name="TextBox 493">
          <a:extLst>
            <a:ext uri="{FF2B5EF4-FFF2-40B4-BE49-F238E27FC236}">
              <a16:creationId xmlns:a16="http://schemas.microsoft.com/office/drawing/2014/main" id="{00000000-0008-0000-0200-0000EE010000}"/>
            </a:ext>
          </a:extLst>
        </xdr:cNvPr>
        <xdr:cNvSpPr txBox="1"/>
      </xdr:nvSpPr>
      <xdr:spPr>
        <a:xfrm>
          <a:off x="24102060" y="18402300"/>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1918"/>
    <xdr:sp macro="" textlink="">
      <xdr:nvSpPr>
        <xdr:cNvPr id="495" name="TextBox 494">
          <a:extLst>
            <a:ext uri="{FF2B5EF4-FFF2-40B4-BE49-F238E27FC236}">
              <a16:creationId xmlns:a16="http://schemas.microsoft.com/office/drawing/2014/main" id="{00000000-0008-0000-0200-0000EF010000}"/>
            </a:ext>
          </a:extLst>
        </xdr:cNvPr>
        <xdr:cNvSpPr txBox="1"/>
      </xdr:nvSpPr>
      <xdr:spPr>
        <a:xfrm>
          <a:off x="24102060" y="22974300"/>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5265" cy="1661918"/>
    <xdr:sp macro="" textlink="">
      <xdr:nvSpPr>
        <xdr:cNvPr id="496" name="TextBox 495">
          <a:extLst>
            <a:ext uri="{FF2B5EF4-FFF2-40B4-BE49-F238E27FC236}">
              <a16:creationId xmlns:a16="http://schemas.microsoft.com/office/drawing/2014/main" id="{00000000-0008-0000-0200-0000F0010000}"/>
            </a:ext>
          </a:extLst>
        </xdr:cNvPr>
        <xdr:cNvSpPr txBox="1"/>
      </xdr:nvSpPr>
      <xdr:spPr>
        <a:xfrm>
          <a:off x="24102060" y="22974300"/>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945" cy="1661918"/>
    <xdr:sp macro="" textlink="">
      <xdr:nvSpPr>
        <xdr:cNvPr id="497" name="TextBox 496">
          <a:extLst>
            <a:ext uri="{FF2B5EF4-FFF2-40B4-BE49-F238E27FC236}">
              <a16:creationId xmlns:a16="http://schemas.microsoft.com/office/drawing/2014/main" id="{00000000-0008-0000-0200-0000F1010000}"/>
            </a:ext>
          </a:extLst>
        </xdr:cNvPr>
        <xdr:cNvSpPr txBox="1"/>
      </xdr:nvSpPr>
      <xdr:spPr>
        <a:xfrm>
          <a:off x="24102060" y="22974300"/>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2021"/>
    <xdr:sp macro="" textlink="">
      <xdr:nvSpPr>
        <xdr:cNvPr id="498" name="TextBox 497">
          <a:extLst>
            <a:ext uri="{FF2B5EF4-FFF2-40B4-BE49-F238E27FC236}">
              <a16:creationId xmlns:a16="http://schemas.microsoft.com/office/drawing/2014/main" id="{00000000-0008-0000-0200-0000F2010000}"/>
            </a:ext>
          </a:extLst>
        </xdr:cNvPr>
        <xdr:cNvSpPr txBox="1"/>
      </xdr:nvSpPr>
      <xdr:spPr>
        <a:xfrm>
          <a:off x="24102060" y="22974300"/>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748948"/>
    <xdr:sp macro="" textlink="">
      <xdr:nvSpPr>
        <xdr:cNvPr id="499" name="TextBox 498">
          <a:extLst>
            <a:ext uri="{FF2B5EF4-FFF2-40B4-BE49-F238E27FC236}">
              <a16:creationId xmlns:a16="http://schemas.microsoft.com/office/drawing/2014/main" id="{00000000-0008-0000-0200-0000F3010000}"/>
            </a:ext>
          </a:extLst>
        </xdr:cNvPr>
        <xdr:cNvSpPr txBox="1"/>
      </xdr:nvSpPr>
      <xdr:spPr>
        <a:xfrm>
          <a:off x="24102060" y="18402300"/>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1918"/>
    <xdr:sp macro="" textlink="">
      <xdr:nvSpPr>
        <xdr:cNvPr id="500" name="TextBox 499">
          <a:extLst>
            <a:ext uri="{FF2B5EF4-FFF2-40B4-BE49-F238E27FC236}">
              <a16:creationId xmlns:a16="http://schemas.microsoft.com/office/drawing/2014/main" id="{00000000-0008-0000-0200-0000F4010000}"/>
            </a:ext>
          </a:extLst>
        </xdr:cNvPr>
        <xdr:cNvSpPr txBox="1"/>
      </xdr:nvSpPr>
      <xdr:spPr>
        <a:xfrm>
          <a:off x="24102060" y="22974300"/>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501" name="TextBox 500">
          <a:extLst>
            <a:ext uri="{FF2B5EF4-FFF2-40B4-BE49-F238E27FC236}">
              <a16:creationId xmlns:a16="http://schemas.microsoft.com/office/drawing/2014/main" id="{00000000-0008-0000-0200-0000F5010000}"/>
            </a:ext>
          </a:extLst>
        </xdr:cNvPr>
        <xdr:cNvSpPr txBox="1"/>
      </xdr:nvSpPr>
      <xdr:spPr>
        <a:xfrm>
          <a:off x="24102060" y="2297430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746584"/>
    <xdr:sp macro="" textlink="">
      <xdr:nvSpPr>
        <xdr:cNvPr id="502" name="TextBox 501">
          <a:extLst>
            <a:ext uri="{FF2B5EF4-FFF2-40B4-BE49-F238E27FC236}">
              <a16:creationId xmlns:a16="http://schemas.microsoft.com/office/drawing/2014/main" id="{00000000-0008-0000-0200-0000F6010000}"/>
            </a:ext>
          </a:extLst>
        </xdr:cNvPr>
        <xdr:cNvSpPr txBox="1"/>
      </xdr:nvSpPr>
      <xdr:spPr>
        <a:xfrm>
          <a:off x="24102060" y="18402300"/>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661918"/>
    <xdr:sp macro="" textlink="">
      <xdr:nvSpPr>
        <xdr:cNvPr id="503" name="TextBox 502">
          <a:extLst>
            <a:ext uri="{FF2B5EF4-FFF2-40B4-BE49-F238E27FC236}">
              <a16:creationId xmlns:a16="http://schemas.microsoft.com/office/drawing/2014/main" id="{00000000-0008-0000-0200-0000F7010000}"/>
            </a:ext>
          </a:extLst>
        </xdr:cNvPr>
        <xdr:cNvSpPr txBox="1"/>
      </xdr:nvSpPr>
      <xdr:spPr>
        <a:xfrm>
          <a:off x="24102060" y="22974300"/>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00147" cy="1661918"/>
    <xdr:sp macro="" textlink="">
      <xdr:nvSpPr>
        <xdr:cNvPr id="504" name="TextBox 503">
          <a:extLst>
            <a:ext uri="{FF2B5EF4-FFF2-40B4-BE49-F238E27FC236}">
              <a16:creationId xmlns:a16="http://schemas.microsoft.com/office/drawing/2014/main" id="{00000000-0008-0000-0200-0000F8010000}"/>
            </a:ext>
          </a:extLst>
        </xdr:cNvPr>
        <xdr:cNvSpPr txBox="1"/>
      </xdr:nvSpPr>
      <xdr:spPr>
        <a:xfrm>
          <a:off x="24102060" y="22974300"/>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592" cy="1661918"/>
    <xdr:sp macro="" textlink="">
      <xdr:nvSpPr>
        <xdr:cNvPr id="505" name="TextBox 504">
          <a:extLst>
            <a:ext uri="{FF2B5EF4-FFF2-40B4-BE49-F238E27FC236}">
              <a16:creationId xmlns:a16="http://schemas.microsoft.com/office/drawing/2014/main" id="{00000000-0008-0000-0200-0000F9010000}"/>
            </a:ext>
          </a:extLst>
        </xdr:cNvPr>
        <xdr:cNvSpPr txBox="1"/>
      </xdr:nvSpPr>
      <xdr:spPr>
        <a:xfrm>
          <a:off x="24102060" y="22974300"/>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746584"/>
    <xdr:sp macro="" textlink="">
      <xdr:nvSpPr>
        <xdr:cNvPr id="506" name="TextBox 505">
          <a:extLst>
            <a:ext uri="{FF2B5EF4-FFF2-40B4-BE49-F238E27FC236}">
              <a16:creationId xmlns:a16="http://schemas.microsoft.com/office/drawing/2014/main" id="{00000000-0008-0000-0200-0000FA010000}"/>
            </a:ext>
          </a:extLst>
        </xdr:cNvPr>
        <xdr:cNvSpPr txBox="1"/>
      </xdr:nvSpPr>
      <xdr:spPr>
        <a:xfrm>
          <a:off x="24102060" y="18402300"/>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661918"/>
    <xdr:sp macro="" textlink="">
      <xdr:nvSpPr>
        <xdr:cNvPr id="507" name="TextBox 506">
          <a:extLst>
            <a:ext uri="{FF2B5EF4-FFF2-40B4-BE49-F238E27FC236}">
              <a16:creationId xmlns:a16="http://schemas.microsoft.com/office/drawing/2014/main" id="{00000000-0008-0000-0200-0000FB010000}"/>
            </a:ext>
          </a:extLst>
        </xdr:cNvPr>
        <xdr:cNvSpPr txBox="1"/>
      </xdr:nvSpPr>
      <xdr:spPr>
        <a:xfrm>
          <a:off x="24102060" y="22974300"/>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508" name="TextBox 507">
          <a:extLst>
            <a:ext uri="{FF2B5EF4-FFF2-40B4-BE49-F238E27FC236}">
              <a16:creationId xmlns:a16="http://schemas.microsoft.com/office/drawing/2014/main" id="{00000000-0008-0000-0200-0000FC010000}"/>
            </a:ext>
          </a:extLst>
        </xdr:cNvPr>
        <xdr:cNvSpPr txBox="1"/>
      </xdr:nvSpPr>
      <xdr:spPr>
        <a:xfrm>
          <a:off x="24102060" y="2675382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509" name="TextBox 508">
          <a:extLst>
            <a:ext uri="{FF2B5EF4-FFF2-40B4-BE49-F238E27FC236}">
              <a16:creationId xmlns:a16="http://schemas.microsoft.com/office/drawing/2014/main" id="{00000000-0008-0000-0200-0000FD010000}"/>
            </a:ext>
          </a:extLst>
        </xdr:cNvPr>
        <xdr:cNvSpPr txBox="1"/>
      </xdr:nvSpPr>
      <xdr:spPr>
        <a:xfrm>
          <a:off x="24102060" y="2675382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683569"/>
    <xdr:sp macro="" textlink="">
      <xdr:nvSpPr>
        <xdr:cNvPr id="510" name="TextBox 509">
          <a:extLst>
            <a:ext uri="{FF2B5EF4-FFF2-40B4-BE49-F238E27FC236}">
              <a16:creationId xmlns:a16="http://schemas.microsoft.com/office/drawing/2014/main" id="{00000000-0008-0000-0200-0000FE010000}"/>
            </a:ext>
          </a:extLst>
        </xdr:cNvPr>
        <xdr:cNvSpPr txBox="1"/>
      </xdr:nvSpPr>
      <xdr:spPr>
        <a:xfrm>
          <a:off x="24102060" y="22974300"/>
          <a:ext cx="3529844" cy="168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744986"/>
    <xdr:sp macro="" textlink="">
      <xdr:nvSpPr>
        <xdr:cNvPr id="511" name="TextBox 510">
          <a:extLst>
            <a:ext uri="{FF2B5EF4-FFF2-40B4-BE49-F238E27FC236}">
              <a16:creationId xmlns:a16="http://schemas.microsoft.com/office/drawing/2014/main" id="{00000000-0008-0000-0200-0000FF010000}"/>
            </a:ext>
          </a:extLst>
        </xdr:cNvPr>
        <xdr:cNvSpPr txBox="1"/>
      </xdr:nvSpPr>
      <xdr:spPr>
        <a:xfrm>
          <a:off x="24102060" y="18402300"/>
          <a:ext cx="3529844" cy="1744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676302"/>
    <xdr:sp macro="" textlink="">
      <xdr:nvSpPr>
        <xdr:cNvPr id="512" name="TextBox 511">
          <a:extLst>
            <a:ext uri="{FF2B5EF4-FFF2-40B4-BE49-F238E27FC236}">
              <a16:creationId xmlns:a16="http://schemas.microsoft.com/office/drawing/2014/main" id="{00000000-0008-0000-0200-000000020000}"/>
            </a:ext>
          </a:extLst>
        </xdr:cNvPr>
        <xdr:cNvSpPr txBox="1"/>
      </xdr:nvSpPr>
      <xdr:spPr>
        <a:xfrm>
          <a:off x="24102060" y="22974300"/>
          <a:ext cx="3529844"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513" name="TextBox 512">
          <a:extLst>
            <a:ext uri="{FF2B5EF4-FFF2-40B4-BE49-F238E27FC236}">
              <a16:creationId xmlns:a16="http://schemas.microsoft.com/office/drawing/2014/main" id="{00000000-0008-0000-0200-00000102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42629"/>
    <xdr:sp macro="" textlink="">
      <xdr:nvSpPr>
        <xdr:cNvPr id="514" name="TextBox 513">
          <a:extLst>
            <a:ext uri="{FF2B5EF4-FFF2-40B4-BE49-F238E27FC236}">
              <a16:creationId xmlns:a16="http://schemas.microsoft.com/office/drawing/2014/main" id="{00000000-0008-0000-0200-000002020000}"/>
            </a:ext>
          </a:extLst>
        </xdr:cNvPr>
        <xdr:cNvSpPr txBox="1"/>
      </xdr:nvSpPr>
      <xdr:spPr>
        <a:xfrm>
          <a:off x="24102060" y="18402300"/>
          <a:ext cx="3542843"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676302"/>
    <xdr:sp macro="" textlink="">
      <xdr:nvSpPr>
        <xdr:cNvPr id="515" name="TextBox 514">
          <a:extLst>
            <a:ext uri="{FF2B5EF4-FFF2-40B4-BE49-F238E27FC236}">
              <a16:creationId xmlns:a16="http://schemas.microsoft.com/office/drawing/2014/main" id="{00000000-0008-0000-0200-000003020000}"/>
            </a:ext>
          </a:extLst>
        </xdr:cNvPr>
        <xdr:cNvSpPr txBox="1"/>
      </xdr:nvSpPr>
      <xdr:spPr>
        <a:xfrm>
          <a:off x="24102060" y="22974300"/>
          <a:ext cx="354284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516" name="TextBox 515">
          <a:extLst>
            <a:ext uri="{FF2B5EF4-FFF2-40B4-BE49-F238E27FC236}">
              <a16:creationId xmlns:a16="http://schemas.microsoft.com/office/drawing/2014/main" id="{00000000-0008-0000-0200-00000402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517" name="TextBox 516">
          <a:extLst>
            <a:ext uri="{FF2B5EF4-FFF2-40B4-BE49-F238E27FC236}">
              <a16:creationId xmlns:a16="http://schemas.microsoft.com/office/drawing/2014/main" id="{00000000-0008-0000-0200-000005020000}"/>
            </a:ext>
          </a:extLst>
        </xdr:cNvPr>
        <xdr:cNvSpPr txBox="1"/>
      </xdr:nvSpPr>
      <xdr:spPr>
        <a:xfrm>
          <a:off x="24102060" y="18402300"/>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518" name="TextBox 517">
          <a:extLst>
            <a:ext uri="{FF2B5EF4-FFF2-40B4-BE49-F238E27FC236}">
              <a16:creationId xmlns:a16="http://schemas.microsoft.com/office/drawing/2014/main" id="{00000000-0008-0000-0200-00000602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1363" cy="1676302"/>
    <xdr:sp macro="" textlink="">
      <xdr:nvSpPr>
        <xdr:cNvPr id="519" name="TextBox 518">
          <a:extLst>
            <a:ext uri="{FF2B5EF4-FFF2-40B4-BE49-F238E27FC236}">
              <a16:creationId xmlns:a16="http://schemas.microsoft.com/office/drawing/2014/main" id="{00000000-0008-0000-0200-000007020000}"/>
            </a:ext>
          </a:extLst>
        </xdr:cNvPr>
        <xdr:cNvSpPr txBox="1"/>
      </xdr:nvSpPr>
      <xdr:spPr>
        <a:xfrm>
          <a:off x="24102060" y="22974300"/>
          <a:ext cx="353136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445197" cy="1676302"/>
    <xdr:sp macro="" textlink="">
      <xdr:nvSpPr>
        <xdr:cNvPr id="520" name="TextBox 519">
          <a:extLst>
            <a:ext uri="{FF2B5EF4-FFF2-40B4-BE49-F238E27FC236}">
              <a16:creationId xmlns:a16="http://schemas.microsoft.com/office/drawing/2014/main" id="{00000000-0008-0000-0200-000008020000}"/>
            </a:ext>
          </a:extLst>
        </xdr:cNvPr>
        <xdr:cNvSpPr txBox="1"/>
      </xdr:nvSpPr>
      <xdr:spPr>
        <a:xfrm>
          <a:off x="24102060" y="22974300"/>
          <a:ext cx="3445197"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521" name="TextBox 520">
          <a:extLst>
            <a:ext uri="{FF2B5EF4-FFF2-40B4-BE49-F238E27FC236}">
              <a16:creationId xmlns:a16="http://schemas.microsoft.com/office/drawing/2014/main" id="{00000000-0008-0000-0200-000009020000}"/>
            </a:ext>
          </a:extLst>
        </xdr:cNvPr>
        <xdr:cNvSpPr txBox="1"/>
      </xdr:nvSpPr>
      <xdr:spPr>
        <a:xfrm>
          <a:off x="24102060" y="18402300"/>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522" name="TextBox 521">
          <a:extLst>
            <a:ext uri="{FF2B5EF4-FFF2-40B4-BE49-F238E27FC236}">
              <a16:creationId xmlns:a16="http://schemas.microsoft.com/office/drawing/2014/main" id="{00000000-0008-0000-0200-00000A02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76039"/>
    <xdr:sp macro="" textlink="">
      <xdr:nvSpPr>
        <xdr:cNvPr id="523" name="TextBox 522">
          <a:extLst>
            <a:ext uri="{FF2B5EF4-FFF2-40B4-BE49-F238E27FC236}">
              <a16:creationId xmlns:a16="http://schemas.microsoft.com/office/drawing/2014/main" id="{00000000-0008-0000-0200-00000B020000}"/>
            </a:ext>
          </a:extLst>
        </xdr:cNvPr>
        <xdr:cNvSpPr txBox="1"/>
      </xdr:nvSpPr>
      <xdr:spPr>
        <a:xfrm>
          <a:off x="24102060" y="26753820"/>
          <a:ext cx="3542843"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524" name="TextBox 523">
          <a:extLst>
            <a:ext uri="{FF2B5EF4-FFF2-40B4-BE49-F238E27FC236}">
              <a16:creationId xmlns:a16="http://schemas.microsoft.com/office/drawing/2014/main" id="{00000000-0008-0000-0200-00000C020000}"/>
            </a:ext>
          </a:extLst>
        </xdr:cNvPr>
        <xdr:cNvSpPr txBox="1"/>
      </xdr:nvSpPr>
      <xdr:spPr>
        <a:xfrm>
          <a:off x="24102060" y="2675382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525" name="TextBox 524">
          <a:extLst>
            <a:ext uri="{FF2B5EF4-FFF2-40B4-BE49-F238E27FC236}">
              <a16:creationId xmlns:a16="http://schemas.microsoft.com/office/drawing/2014/main" id="{00000000-0008-0000-0200-00000D020000}"/>
            </a:ext>
          </a:extLst>
        </xdr:cNvPr>
        <xdr:cNvSpPr txBox="1"/>
      </xdr:nvSpPr>
      <xdr:spPr>
        <a:xfrm>
          <a:off x="24102060" y="2675382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620421"/>
    <xdr:sp macro="" textlink="">
      <xdr:nvSpPr>
        <xdr:cNvPr id="526" name="TextBox 525">
          <a:extLst>
            <a:ext uri="{FF2B5EF4-FFF2-40B4-BE49-F238E27FC236}">
              <a16:creationId xmlns:a16="http://schemas.microsoft.com/office/drawing/2014/main" id="{00000000-0008-0000-0200-00000E020000}"/>
            </a:ext>
          </a:extLst>
        </xdr:cNvPr>
        <xdr:cNvSpPr txBox="1"/>
      </xdr:nvSpPr>
      <xdr:spPr>
        <a:xfrm>
          <a:off x="24102060" y="22974300"/>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842257"/>
    <xdr:sp macro="" textlink="">
      <xdr:nvSpPr>
        <xdr:cNvPr id="527" name="TextBox 526">
          <a:extLst>
            <a:ext uri="{FF2B5EF4-FFF2-40B4-BE49-F238E27FC236}">
              <a16:creationId xmlns:a16="http://schemas.microsoft.com/office/drawing/2014/main" id="{00000000-0008-0000-0200-00000F020000}"/>
            </a:ext>
          </a:extLst>
        </xdr:cNvPr>
        <xdr:cNvSpPr txBox="1"/>
      </xdr:nvSpPr>
      <xdr:spPr>
        <a:xfrm>
          <a:off x="24102060" y="18402300"/>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587258"/>
    <xdr:sp macro="" textlink="">
      <xdr:nvSpPr>
        <xdr:cNvPr id="528" name="TextBox 527">
          <a:extLst>
            <a:ext uri="{FF2B5EF4-FFF2-40B4-BE49-F238E27FC236}">
              <a16:creationId xmlns:a16="http://schemas.microsoft.com/office/drawing/2014/main" id="{00000000-0008-0000-0200-000010020000}"/>
            </a:ext>
          </a:extLst>
        </xdr:cNvPr>
        <xdr:cNvSpPr txBox="1"/>
      </xdr:nvSpPr>
      <xdr:spPr>
        <a:xfrm>
          <a:off x="24102060" y="22974300"/>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932" cy="1587258"/>
    <xdr:sp macro="" textlink="">
      <xdr:nvSpPr>
        <xdr:cNvPr id="529" name="TextBox 528">
          <a:extLst>
            <a:ext uri="{FF2B5EF4-FFF2-40B4-BE49-F238E27FC236}">
              <a16:creationId xmlns:a16="http://schemas.microsoft.com/office/drawing/2014/main" id="{00000000-0008-0000-0200-000011020000}"/>
            </a:ext>
          </a:extLst>
        </xdr:cNvPr>
        <xdr:cNvSpPr txBox="1"/>
      </xdr:nvSpPr>
      <xdr:spPr>
        <a:xfrm>
          <a:off x="24102060" y="22974300"/>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530" name="TextBox 529">
          <a:extLst>
            <a:ext uri="{FF2B5EF4-FFF2-40B4-BE49-F238E27FC236}">
              <a16:creationId xmlns:a16="http://schemas.microsoft.com/office/drawing/2014/main" id="{00000000-0008-0000-0200-000012020000}"/>
            </a:ext>
          </a:extLst>
        </xdr:cNvPr>
        <xdr:cNvSpPr txBox="1"/>
      </xdr:nvSpPr>
      <xdr:spPr>
        <a:xfrm>
          <a:off x="24102060" y="1840230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531" name="TextBox 530">
          <a:extLst>
            <a:ext uri="{FF2B5EF4-FFF2-40B4-BE49-F238E27FC236}">
              <a16:creationId xmlns:a16="http://schemas.microsoft.com/office/drawing/2014/main" id="{00000000-0008-0000-0200-000013020000}"/>
            </a:ext>
          </a:extLst>
        </xdr:cNvPr>
        <xdr:cNvSpPr txBox="1"/>
      </xdr:nvSpPr>
      <xdr:spPr>
        <a:xfrm>
          <a:off x="24102060" y="2297430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593" cy="1587258"/>
    <xdr:sp macro="" textlink="">
      <xdr:nvSpPr>
        <xdr:cNvPr id="532" name="TextBox 531">
          <a:extLst>
            <a:ext uri="{FF2B5EF4-FFF2-40B4-BE49-F238E27FC236}">
              <a16:creationId xmlns:a16="http://schemas.microsoft.com/office/drawing/2014/main" id="{00000000-0008-0000-0200-000014020000}"/>
            </a:ext>
          </a:extLst>
        </xdr:cNvPr>
        <xdr:cNvSpPr txBox="1"/>
      </xdr:nvSpPr>
      <xdr:spPr>
        <a:xfrm>
          <a:off x="24102060" y="22974300"/>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8203" cy="1587258"/>
    <xdr:sp macro="" textlink="">
      <xdr:nvSpPr>
        <xdr:cNvPr id="533" name="TextBox 532">
          <a:extLst>
            <a:ext uri="{FF2B5EF4-FFF2-40B4-BE49-F238E27FC236}">
              <a16:creationId xmlns:a16="http://schemas.microsoft.com/office/drawing/2014/main" id="{00000000-0008-0000-0200-000015020000}"/>
            </a:ext>
          </a:extLst>
        </xdr:cNvPr>
        <xdr:cNvSpPr txBox="1"/>
      </xdr:nvSpPr>
      <xdr:spPr>
        <a:xfrm>
          <a:off x="24102060" y="22974300"/>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534" name="TextBox 533">
          <a:extLst>
            <a:ext uri="{FF2B5EF4-FFF2-40B4-BE49-F238E27FC236}">
              <a16:creationId xmlns:a16="http://schemas.microsoft.com/office/drawing/2014/main" id="{00000000-0008-0000-0200-000016020000}"/>
            </a:ext>
          </a:extLst>
        </xdr:cNvPr>
        <xdr:cNvSpPr txBox="1"/>
      </xdr:nvSpPr>
      <xdr:spPr>
        <a:xfrm>
          <a:off x="24102060" y="1840230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535" name="TextBox 534">
          <a:extLst>
            <a:ext uri="{FF2B5EF4-FFF2-40B4-BE49-F238E27FC236}">
              <a16:creationId xmlns:a16="http://schemas.microsoft.com/office/drawing/2014/main" id="{00000000-0008-0000-0200-000017020000}"/>
            </a:ext>
          </a:extLst>
        </xdr:cNvPr>
        <xdr:cNvSpPr txBox="1"/>
      </xdr:nvSpPr>
      <xdr:spPr>
        <a:xfrm>
          <a:off x="24102060" y="2297430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536" name="TextBox 535">
          <a:extLst>
            <a:ext uri="{FF2B5EF4-FFF2-40B4-BE49-F238E27FC236}">
              <a16:creationId xmlns:a16="http://schemas.microsoft.com/office/drawing/2014/main" id="{00000000-0008-0000-0200-000018020000}"/>
            </a:ext>
          </a:extLst>
        </xdr:cNvPr>
        <xdr:cNvSpPr txBox="1"/>
      </xdr:nvSpPr>
      <xdr:spPr>
        <a:xfrm>
          <a:off x="24102060" y="2675382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537" name="TextBox 536">
          <a:extLst>
            <a:ext uri="{FF2B5EF4-FFF2-40B4-BE49-F238E27FC236}">
              <a16:creationId xmlns:a16="http://schemas.microsoft.com/office/drawing/2014/main" id="{00000000-0008-0000-0200-000019020000}"/>
            </a:ext>
          </a:extLst>
        </xdr:cNvPr>
        <xdr:cNvSpPr txBox="1"/>
      </xdr:nvSpPr>
      <xdr:spPr>
        <a:xfrm>
          <a:off x="24102060" y="2675382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222"/>
    <xdr:sp macro="" textlink="">
      <xdr:nvSpPr>
        <xdr:cNvPr id="538" name="TextBox 537">
          <a:extLst>
            <a:ext uri="{FF2B5EF4-FFF2-40B4-BE49-F238E27FC236}">
              <a16:creationId xmlns:a16="http://schemas.microsoft.com/office/drawing/2014/main" id="{00000000-0008-0000-0200-00001A020000}"/>
            </a:ext>
          </a:extLst>
        </xdr:cNvPr>
        <xdr:cNvSpPr txBox="1"/>
      </xdr:nvSpPr>
      <xdr:spPr>
        <a:xfrm>
          <a:off x="24102060" y="22974300"/>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748771"/>
    <xdr:sp macro="" textlink="">
      <xdr:nvSpPr>
        <xdr:cNvPr id="539" name="TextBox 538">
          <a:extLst>
            <a:ext uri="{FF2B5EF4-FFF2-40B4-BE49-F238E27FC236}">
              <a16:creationId xmlns:a16="http://schemas.microsoft.com/office/drawing/2014/main" id="{00000000-0008-0000-0200-00001B020000}"/>
            </a:ext>
          </a:extLst>
        </xdr:cNvPr>
        <xdr:cNvSpPr txBox="1"/>
      </xdr:nvSpPr>
      <xdr:spPr>
        <a:xfrm>
          <a:off x="24102060" y="18402300"/>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119"/>
    <xdr:sp macro="" textlink="">
      <xdr:nvSpPr>
        <xdr:cNvPr id="540" name="TextBox 539">
          <a:extLst>
            <a:ext uri="{FF2B5EF4-FFF2-40B4-BE49-F238E27FC236}">
              <a16:creationId xmlns:a16="http://schemas.microsoft.com/office/drawing/2014/main" id="{00000000-0008-0000-0200-00001C020000}"/>
            </a:ext>
          </a:extLst>
        </xdr:cNvPr>
        <xdr:cNvSpPr txBox="1"/>
      </xdr:nvSpPr>
      <xdr:spPr>
        <a:xfrm>
          <a:off x="24102060" y="22974300"/>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114" cy="1662119"/>
    <xdr:sp macro="" textlink="">
      <xdr:nvSpPr>
        <xdr:cNvPr id="541" name="TextBox 540">
          <a:extLst>
            <a:ext uri="{FF2B5EF4-FFF2-40B4-BE49-F238E27FC236}">
              <a16:creationId xmlns:a16="http://schemas.microsoft.com/office/drawing/2014/main" id="{00000000-0008-0000-0200-00001D020000}"/>
            </a:ext>
          </a:extLst>
        </xdr:cNvPr>
        <xdr:cNvSpPr txBox="1"/>
      </xdr:nvSpPr>
      <xdr:spPr>
        <a:xfrm>
          <a:off x="24102060" y="22974300"/>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731221"/>
    <xdr:sp macro="" textlink="">
      <xdr:nvSpPr>
        <xdr:cNvPr id="542" name="TextBox 541">
          <a:extLst>
            <a:ext uri="{FF2B5EF4-FFF2-40B4-BE49-F238E27FC236}">
              <a16:creationId xmlns:a16="http://schemas.microsoft.com/office/drawing/2014/main" id="{00000000-0008-0000-0200-00001E020000}"/>
            </a:ext>
          </a:extLst>
        </xdr:cNvPr>
        <xdr:cNvSpPr txBox="1"/>
      </xdr:nvSpPr>
      <xdr:spPr>
        <a:xfrm>
          <a:off x="24102060" y="18402300"/>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662119"/>
    <xdr:sp macro="" textlink="">
      <xdr:nvSpPr>
        <xdr:cNvPr id="543" name="TextBox 542">
          <a:extLst>
            <a:ext uri="{FF2B5EF4-FFF2-40B4-BE49-F238E27FC236}">
              <a16:creationId xmlns:a16="http://schemas.microsoft.com/office/drawing/2014/main" id="{00000000-0008-0000-0200-00001F020000}"/>
            </a:ext>
          </a:extLst>
        </xdr:cNvPr>
        <xdr:cNvSpPr txBox="1"/>
      </xdr:nvSpPr>
      <xdr:spPr>
        <a:xfrm>
          <a:off x="24102060" y="22974300"/>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544" name="TextBox 543">
          <a:extLst>
            <a:ext uri="{FF2B5EF4-FFF2-40B4-BE49-F238E27FC236}">
              <a16:creationId xmlns:a16="http://schemas.microsoft.com/office/drawing/2014/main" id="{00000000-0008-0000-0200-000020020000}"/>
            </a:ext>
          </a:extLst>
        </xdr:cNvPr>
        <xdr:cNvSpPr txBox="1"/>
      </xdr:nvSpPr>
      <xdr:spPr>
        <a:xfrm>
          <a:off x="24102060" y="2297430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731221"/>
    <xdr:sp macro="" textlink="">
      <xdr:nvSpPr>
        <xdr:cNvPr id="545" name="TextBox 544">
          <a:extLst>
            <a:ext uri="{FF2B5EF4-FFF2-40B4-BE49-F238E27FC236}">
              <a16:creationId xmlns:a16="http://schemas.microsoft.com/office/drawing/2014/main" id="{00000000-0008-0000-0200-000021020000}"/>
            </a:ext>
          </a:extLst>
        </xdr:cNvPr>
        <xdr:cNvSpPr txBox="1"/>
      </xdr:nvSpPr>
      <xdr:spPr>
        <a:xfrm>
          <a:off x="24102060" y="18402300"/>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546" name="TextBox 545">
          <a:extLst>
            <a:ext uri="{FF2B5EF4-FFF2-40B4-BE49-F238E27FC236}">
              <a16:creationId xmlns:a16="http://schemas.microsoft.com/office/drawing/2014/main" id="{00000000-0008-0000-0200-000022020000}"/>
            </a:ext>
          </a:extLst>
        </xdr:cNvPr>
        <xdr:cNvSpPr txBox="1"/>
      </xdr:nvSpPr>
      <xdr:spPr>
        <a:xfrm>
          <a:off x="24102060" y="2297430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4833" cy="1662119"/>
    <xdr:sp macro="" textlink="">
      <xdr:nvSpPr>
        <xdr:cNvPr id="547" name="TextBox 546">
          <a:extLst>
            <a:ext uri="{FF2B5EF4-FFF2-40B4-BE49-F238E27FC236}">
              <a16:creationId xmlns:a16="http://schemas.microsoft.com/office/drawing/2014/main" id="{00000000-0008-0000-0200-000023020000}"/>
            </a:ext>
          </a:extLst>
        </xdr:cNvPr>
        <xdr:cNvSpPr txBox="1"/>
      </xdr:nvSpPr>
      <xdr:spPr>
        <a:xfrm>
          <a:off x="24102060" y="22974300"/>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731221"/>
    <xdr:sp macro="" textlink="">
      <xdr:nvSpPr>
        <xdr:cNvPr id="548" name="TextBox 547">
          <a:extLst>
            <a:ext uri="{FF2B5EF4-FFF2-40B4-BE49-F238E27FC236}">
              <a16:creationId xmlns:a16="http://schemas.microsoft.com/office/drawing/2014/main" id="{00000000-0008-0000-0200-000024020000}"/>
            </a:ext>
          </a:extLst>
        </xdr:cNvPr>
        <xdr:cNvSpPr txBox="1"/>
      </xdr:nvSpPr>
      <xdr:spPr>
        <a:xfrm>
          <a:off x="24102060" y="18402300"/>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119"/>
    <xdr:sp macro="" textlink="">
      <xdr:nvSpPr>
        <xdr:cNvPr id="549" name="TextBox 548">
          <a:extLst>
            <a:ext uri="{FF2B5EF4-FFF2-40B4-BE49-F238E27FC236}">
              <a16:creationId xmlns:a16="http://schemas.microsoft.com/office/drawing/2014/main" id="{00000000-0008-0000-0200-000025020000}"/>
            </a:ext>
          </a:extLst>
        </xdr:cNvPr>
        <xdr:cNvSpPr txBox="1"/>
      </xdr:nvSpPr>
      <xdr:spPr>
        <a:xfrm>
          <a:off x="24102060" y="22974300"/>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877" cy="1662343"/>
    <xdr:sp macro="" textlink="">
      <xdr:nvSpPr>
        <xdr:cNvPr id="550" name="TextBox 549">
          <a:extLst>
            <a:ext uri="{FF2B5EF4-FFF2-40B4-BE49-F238E27FC236}">
              <a16:creationId xmlns:a16="http://schemas.microsoft.com/office/drawing/2014/main" id="{00000000-0008-0000-0200-000026020000}"/>
            </a:ext>
          </a:extLst>
        </xdr:cNvPr>
        <xdr:cNvSpPr txBox="1"/>
      </xdr:nvSpPr>
      <xdr:spPr>
        <a:xfrm>
          <a:off x="24102060" y="26753820"/>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343"/>
    <xdr:sp macro="" textlink="">
      <xdr:nvSpPr>
        <xdr:cNvPr id="551" name="TextBox 550">
          <a:extLst>
            <a:ext uri="{FF2B5EF4-FFF2-40B4-BE49-F238E27FC236}">
              <a16:creationId xmlns:a16="http://schemas.microsoft.com/office/drawing/2014/main" id="{00000000-0008-0000-0200-000027020000}"/>
            </a:ext>
          </a:extLst>
        </xdr:cNvPr>
        <xdr:cNvSpPr txBox="1"/>
      </xdr:nvSpPr>
      <xdr:spPr>
        <a:xfrm>
          <a:off x="24102060" y="26753820"/>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343"/>
    <xdr:sp macro="" textlink="">
      <xdr:nvSpPr>
        <xdr:cNvPr id="552" name="TextBox 551">
          <a:extLst>
            <a:ext uri="{FF2B5EF4-FFF2-40B4-BE49-F238E27FC236}">
              <a16:creationId xmlns:a16="http://schemas.microsoft.com/office/drawing/2014/main" id="{00000000-0008-0000-0200-000028020000}"/>
            </a:ext>
          </a:extLst>
        </xdr:cNvPr>
        <xdr:cNvSpPr txBox="1"/>
      </xdr:nvSpPr>
      <xdr:spPr>
        <a:xfrm>
          <a:off x="24102060" y="26753820"/>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934"/>
    <xdr:sp macro="" textlink="">
      <xdr:nvSpPr>
        <xdr:cNvPr id="553" name="TextBox 552">
          <a:extLst>
            <a:ext uri="{FF2B5EF4-FFF2-40B4-BE49-F238E27FC236}">
              <a16:creationId xmlns:a16="http://schemas.microsoft.com/office/drawing/2014/main" id="{00000000-0008-0000-0200-000029020000}"/>
            </a:ext>
          </a:extLst>
        </xdr:cNvPr>
        <xdr:cNvSpPr txBox="1"/>
      </xdr:nvSpPr>
      <xdr:spPr>
        <a:xfrm>
          <a:off x="24102060" y="22974300"/>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742770"/>
    <xdr:sp macro="" textlink="">
      <xdr:nvSpPr>
        <xdr:cNvPr id="554" name="TextBox 553">
          <a:extLst>
            <a:ext uri="{FF2B5EF4-FFF2-40B4-BE49-F238E27FC236}">
              <a16:creationId xmlns:a16="http://schemas.microsoft.com/office/drawing/2014/main" id="{00000000-0008-0000-0200-00002A020000}"/>
            </a:ext>
          </a:extLst>
        </xdr:cNvPr>
        <xdr:cNvSpPr txBox="1"/>
      </xdr:nvSpPr>
      <xdr:spPr>
        <a:xfrm>
          <a:off x="24102060" y="18402300"/>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831"/>
    <xdr:sp macro="" textlink="">
      <xdr:nvSpPr>
        <xdr:cNvPr id="555" name="TextBox 554">
          <a:extLst>
            <a:ext uri="{FF2B5EF4-FFF2-40B4-BE49-F238E27FC236}">
              <a16:creationId xmlns:a16="http://schemas.microsoft.com/office/drawing/2014/main" id="{00000000-0008-0000-0200-00002B020000}"/>
            </a:ext>
          </a:extLst>
        </xdr:cNvPr>
        <xdr:cNvSpPr txBox="1"/>
      </xdr:nvSpPr>
      <xdr:spPr>
        <a:xfrm>
          <a:off x="24102060" y="22974300"/>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5023"/>
    <xdr:sp macro="" textlink="">
      <xdr:nvSpPr>
        <xdr:cNvPr id="556" name="TextBox 555">
          <a:extLst>
            <a:ext uri="{FF2B5EF4-FFF2-40B4-BE49-F238E27FC236}">
              <a16:creationId xmlns:a16="http://schemas.microsoft.com/office/drawing/2014/main" id="{00000000-0008-0000-0200-00002C020000}"/>
            </a:ext>
          </a:extLst>
        </xdr:cNvPr>
        <xdr:cNvSpPr txBox="1"/>
      </xdr:nvSpPr>
      <xdr:spPr>
        <a:xfrm>
          <a:off x="24102060" y="22974300"/>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717993"/>
    <xdr:sp macro="" textlink="">
      <xdr:nvSpPr>
        <xdr:cNvPr id="557" name="TextBox 556">
          <a:extLst>
            <a:ext uri="{FF2B5EF4-FFF2-40B4-BE49-F238E27FC236}">
              <a16:creationId xmlns:a16="http://schemas.microsoft.com/office/drawing/2014/main" id="{00000000-0008-0000-0200-00002D020000}"/>
            </a:ext>
          </a:extLst>
        </xdr:cNvPr>
        <xdr:cNvSpPr txBox="1"/>
      </xdr:nvSpPr>
      <xdr:spPr>
        <a:xfrm>
          <a:off x="24102060" y="18402300"/>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4935"/>
    <xdr:sp macro="" textlink="">
      <xdr:nvSpPr>
        <xdr:cNvPr id="558" name="TextBox 557">
          <a:extLst>
            <a:ext uri="{FF2B5EF4-FFF2-40B4-BE49-F238E27FC236}">
              <a16:creationId xmlns:a16="http://schemas.microsoft.com/office/drawing/2014/main" id="{00000000-0008-0000-0200-00002E020000}"/>
            </a:ext>
          </a:extLst>
        </xdr:cNvPr>
        <xdr:cNvSpPr txBox="1"/>
      </xdr:nvSpPr>
      <xdr:spPr>
        <a:xfrm>
          <a:off x="24102060" y="22974300"/>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4773" cy="1434935"/>
    <xdr:sp macro="" textlink="">
      <xdr:nvSpPr>
        <xdr:cNvPr id="559" name="TextBox 558">
          <a:extLst>
            <a:ext uri="{FF2B5EF4-FFF2-40B4-BE49-F238E27FC236}">
              <a16:creationId xmlns:a16="http://schemas.microsoft.com/office/drawing/2014/main" id="{00000000-0008-0000-0200-00002F020000}"/>
            </a:ext>
          </a:extLst>
        </xdr:cNvPr>
        <xdr:cNvSpPr txBox="1"/>
      </xdr:nvSpPr>
      <xdr:spPr>
        <a:xfrm>
          <a:off x="24102060" y="22974300"/>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560" name="TextBox 559">
          <a:extLst>
            <a:ext uri="{FF2B5EF4-FFF2-40B4-BE49-F238E27FC236}">
              <a16:creationId xmlns:a16="http://schemas.microsoft.com/office/drawing/2014/main" id="{00000000-0008-0000-0200-000030020000}"/>
            </a:ext>
          </a:extLst>
        </xdr:cNvPr>
        <xdr:cNvSpPr txBox="1"/>
      </xdr:nvSpPr>
      <xdr:spPr>
        <a:xfrm>
          <a:off x="24102060" y="2297430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561" name="TextBox 560">
          <a:extLst>
            <a:ext uri="{FF2B5EF4-FFF2-40B4-BE49-F238E27FC236}">
              <a16:creationId xmlns:a16="http://schemas.microsoft.com/office/drawing/2014/main" id="{00000000-0008-0000-0200-000031020000}"/>
            </a:ext>
          </a:extLst>
        </xdr:cNvPr>
        <xdr:cNvSpPr txBox="1"/>
      </xdr:nvSpPr>
      <xdr:spPr>
        <a:xfrm>
          <a:off x="24102060" y="1840230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562" name="TextBox 561">
          <a:extLst>
            <a:ext uri="{FF2B5EF4-FFF2-40B4-BE49-F238E27FC236}">
              <a16:creationId xmlns:a16="http://schemas.microsoft.com/office/drawing/2014/main" id="{00000000-0008-0000-0200-000032020000}"/>
            </a:ext>
          </a:extLst>
        </xdr:cNvPr>
        <xdr:cNvSpPr txBox="1"/>
      </xdr:nvSpPr>
      <xdr:spPr>
        <a:xfrm>
          <a:off x="24102060" y="2297430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563" name="TextBox 562">
          <a:extLst>
            <a:ext uri="{FF2B5EF4-FFF2-40B4-BE49-F238E27FC236}">
              <a16:creationId xmlns:a16="http://schemas.microsoft.com/office/drawing/2014/main" id="{00000000-0008-0000-0200-000033020000}"/>
            </a:ext>
          </a:extLst>
        </xdr:cNvPr>
        <xdr:cNvSpPr txBox="1"/>
      </xdr:nvSpPr>
      <xdr:spPr>
        <a:xfrm>
          <a:off x="24102060" y="2297430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564" name="TextBox 563">
          <a:extLst>
            <a:ext uri="{FF2B5EF4-FFF2-40B4-BE49-F238E27FC236}">
              <a16:creationId xmlns:a16="http://schemas.microsoft.com/office/drawing/2014/main" id="{00000000-0008-0000-0200-000034020000}"/>
            </a:ext>
          </a:extLst>
        </xdr:cNvPr>
        <xdr:cNvSpPr txBox="1"/>
      </xdr:nvSpPr>
      <xdr:spPr>
        <a:xfrm>
          <a:off x="24102060" y="1840230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565" name="TextBox 564">
          <a:extLst>
            <a:ext uri="{FF2B5EF4-FFF2-40B4-BE49-F238E27FC236}">
              <a16:creationId xmlns:a16="http://schemas.microsoft.com/office/drawing/2014/main" id="{00000000-0008-0000-0200-000035020000}"/>
            </a:ext>
          </a:extLst>
        </xdr:cNvPr>
        <xdr:cNvSpPr txBox="1"/>
      </xdr:nvSpPr>
      <xdr:spPr>
        <a:xfrm>
          <a:off x="24102060" y="2297430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566" name="TextBox 565">
          <a:extLst>
            <a:ext uri="{FF2B5EF4-FFF2-40B4-BE49-F238E27FC236}">
              <a16:creationId xmlns:a16="http://schemas.microsoft.com/office/drawing/2014/main" id="{00000000-0008-0000-0200-000036020000}"/>
            </a:ext>
          </a:extLst>
        </xdr:cNvPr>
        <xdr:cNvSpPr txBox="1"/>
      </xdr:nvSpPr>
      <xdr:spPr>
        <a:xfrm>
          <a:off x="24102060" y="2297430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567" name="TextBox 566">
          <a:extLst>
            <a:ext uri="{FF2B5EF4-FFF2-40B4-BE49-F238E27FC236}">
              <a16:creationId xmlns:a16="http://schemas.microsoft.com/office/drawing/2014/main" id="{00000000-0008-0000-0200-000037020000}"/>
            </a:ext>
          </a:extLst>
        </xdr:cNvPr>
        <xdr:cNvSpPr txBox="1"/>
      </xdr:nvSpPr>
      <xdr:spPr>
        <a:xfrm>
          <a:off x="24102060" y="2297430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746347"/>
    <xdr:sp macro="" textlink="">
      <xdr:nvSpPr>
        <xdr:cNvPr id="568" name="TextBox 567">
          <a:extLst>
            <a:ext uri="{FF2B5EF4-FFF2-40B4-BE49-F238E27FC236}">
              <a16:creationId xmlns:a16="http://schemas.microsoft.com/office/drawing/2014/main" id="{00000000-0008-0000-0200-000038020000}"/>
            </a:ext>
          </a:extLst>
        </xdr:cNvPr>
        <xdr:cNvSpPr txBox="1"/>
      </xdr:nvSpPr>
      <xdr:spPr>
        <a:xfrm>
          <a:off x="24102060" y="18402300"/>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661857"/>
    <xdr:sp macro="" textlink="">
      <xdr:nvSpPr>
        <xdr:cNvPr id="569" name="TextBox 568">
          <a:extLst>
            <a:ext uri="{FF2B5EF4-FFF2-40B4-BE49-F238E27FC236}">
              <a16:creationId xmlns:a16="http://schemas.microsoft.com/office/drawing/2014/main" id="{00000000-0008-0000-0200-000039020000}"/>
            </a:ext>
          </a:extLst>
        </xdr:cNvPr>
        <xdr:cNvSpPr txBox="1"/>
      </xdr:nvSpPr>
      <xdr:spPr>
        <a:xfrm>
          <a:off x="24102060" y="22974300"/>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178" cy="1661857"/>
    <xdr:sp macro="" textlink="">
      <xdr:nvSpPr>
        <xdr:cNvPr id="570" name="TextBox 569">
          <a:extLst>
            <a:ext uri="{FF2B5EF4-FFF2-40B4-BE49-F238E27FC236}">
              <a16:creationId xmlns:a16="http://schemas.microsoft.com/office/drawing/2014/main" id="{00000000-0008-0000-0200-00003A020000}"/>
            </a:ext>
          </a:extLst>
        </xdr:cNvPr>
        <xdr:cNvSpPr txBox="1"/>
      </xdr:nvSpPr>
      <xdr:spPr>
        <a:xfrm>
          <a:off x="24102060" y="22974300"/>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9642" cy="1678802"/>
    <xdr:sp macro="" textlink="">
      <xdr:nvSpPr>
        <xdr:cNvPr id="571" name="TextBox 570">
          <a:extLst>
            <a:ext uri="{FF2B5EF4-FFF2-40B4-BE49-F238E27FC236}">
              <a16:creationId xmlns:a16="http://schemas.microsoft.com/office/drawing/2014/main" id="{00000000-0008-0000-0200-00003B020000}"/>
            </a:ext>
          </a:extLst>
        </xdr:cNvPr>
        <xdr:cNvSpPr txBox="1"/>
      </xdr:nvSpPr>
      <xdr:spPr>
        <a:xfrm>
          <a:off x="24102060" y="26753820"/>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419"/>
    <xdr:sp macro="" textlink="">
      <xdr:nvSpPr>
        <xdr:cNvPr id="572" name="TextBox 571">
          <a:extLst>
            <a:ext uri="{FF2B5EF4-FFF2-40B4-BE49-F238E27FC236}">
              <a16:creationId xmlns:a16="http://schemas.microsoft.com/office/drawing/2014/main" id="{00000000-0008-0000-0200-00003C020000}"/>
            </a:ext>
          </a:extLst>
        </xdr:cNvPr>
        <xdr:cNvSpPr txBox="1"/>
      </xdr:nvSpPr>
      <xdr:spPr>
        <a:xfrm>
          <a:off x="24102060" y="22974300"/>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759058"/>
    <xdr:sp macro="" textlink="">
      <xdr:nvSpPr>
        <xdr:cNvPr id="573" name="TextBox 572">
          <a:extLst>
            <a:ext uri="{FF2B5EF4-FFF2-40B4-BE49-F238E27FC236}">
              <a16:creationId xmlns:a16="http://schemas.microsoft.com/office/drawing/2014/main" id="{00000000-0008-0000-0200-00003D020000}"/>
            </a:ext>
          </a:extLst>
        </xdr:cNvPr>
        <xdr:cNvSpPr txBox="1"/>
      </xdr:nvSpPr>
      <xdr:spPr>
        <a:xfrm>
          <a:off x="24102060" y="18402300"/>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316"/>
    <xdr:sp macro="" textlink="">
      <xdr:nvSpPr>
        <xdr:cNvPr id="574" name="TextBox 573">
          <a:extLst>
            <a:ext uri="{FF2B5EF4-FFF2-40B4-BE49-F238E27FC236}">
              <a16:creationId xmlns:a16="http://schemas.microsoft.com/office/drawing/2014/main" id="{00000000-0008-0000-0200-00003E020000}"/>
            </a:ext>
          </a:extLst>
        </xdr:cNvPr>
        <xdr:cNvSpPr txBox="1"/>
      </xdr:nvSpPr>
      <xdr:spPr>
        <a:xfrm>
          <a:off x="24102060" y="22974300"/>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21" cy="1650316"/>
    <xdr:sp macro="" textlink="">
      <xdr:nvSpPr>
        <xdr:cNvPr id="575" name="TextBox 574">
          <a:extLst>
            <a:ext uri="{FF2B5EF4-FFF2-40B4-BE49-F238E27FC236}">
              <a16:creationId xmlns:a16="http://schemas.microsoft.com/office/drawing/2014/main" id="{00000000-0008-0000-0200-00003F020000}"/>
            </a:ext>
          </a:extLst>
        </xdr:cNvPr>
        <xdr:cNvSpPr txBox="1"/>
      </xdr:nvSpPr>
      <xdr:spPr>
        <a:xfrm>
          <a:off x="24102060" y="22974300"/>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576" name="TextBox 575">
          <a:extLst>
            <a:ext uri="{FF2B5EF4-FFF2-40B4-BE49-F238E27FC236}">
              <a16:creationId xmlns:a16="http://schemas.microsoft.com/office/drawing/2014/main" id="{00000000-0008-0000-0200-000040020000}"/>
            </a:ext>
          </a:extLst>
        </xdr:cNvPr>
        <xdr:cNvSpPr txBox="1"/>
      </xdr:nvSpPr>
      <xdr:spPr>
        <a:xfrm>
          <a:off x="24102060" y="2297430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577" name="TextBox 576">
          <a:extLst>
            <a:ext uri="{FF2B5EF4-FFF2-40B4-BE49-F238E27FC236}">
              <a16:creationId xmlns:a16="http://schemas.microsoft.com/office/drawing/2014/main" id="{00000000-0008-0000-0200-000041020000}"/>
            </a:ext>
          </a:extLst>
        </xdr:cNvPr>
        <xdr:cNvSpPr txBox="1"/>
      </xdr:nvSpPr>
      <xdr:spPr>
        <a:xfrm>
          <a:off x="24102060" y="2675382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578" name="TextBox 577">
          <a:extLst>
            <a:ext uri="{FF2B5EF4-FFF2-40B4-BE49-F238E27FC236}">
              <a16:creationId xmlns:a16="http://schemas.microsoft.com/office/drawing/2014/main" id="{00000000-0008-0000-0200-000042020000}"/>
            </a:ext>
          </a:extLst>
        </xdr:cNvPr>
        <xdr:cNvSpPr txBox="1"/>
      </xdr:nvSpPr>
      <xdr:spPr>
        <a:xfrm>
          <a:off x="24102060" y="2675382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2021"/>
    <xdr:sp macro="" textlink="">
      <xdr:nvSpPr>
        <xdr:cNvPr id="579" name="TextBox 578">
          <a:extLst>
            <a:ext uri="{FF2B5EF4-FFF2-40B4-BE49-F238E27FC236}">
              <a16:creationId xmlns:a16="http://schemas.microsoft.com/office/drawing/2014/main" id="{00000000-0008-0000-0200-000043020000}"/>
            </a:ext>
          </a:extLst>
        </xdr:cNvPr>
        <xdr:cNvSpPr txBox="1"/>
      </xdr:nvSpPr>
      <xdr:spPr>
        <a:xfrm>
          <a:off x="24102060" y="22974300"/>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748948"/>
    <xdr:sp macro="" textlink="">
      <xdr:nvSpPr>
        <xdr:cNvPr id="580" name="TextBox 579">
          <a:extLst>
            <a:ext uri="{FF2B5EF4-FFF2-40B4-BE49-F238E27FC236}">
              <a16:creationId xmlns:a16="http://schemas.microsoft.com/office/drawing/2014/main" id="{00000000-0008-0000-0200-000044020000}"/>
            </a:ext>
          </a:extLst>
        </xdr:cNvPr>
        <xdr:cNvSpPr txBox="1"/>
      </xdr:nvSpPr>
      <xdr:spPr>
        <a:xfrm>
          <a:off x="24102060" y="18402300"/>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1918"/>
    <xdr:sp macro="" textlink="">
      <xdr:nvSpPr>
        <xdr:cNvPr id="581" name="TextBox 580">
          <a:extLst>
            <a:ext uri="{FF2B5EF4-FFF2-40B4-BE49-F238E27FC236}">
              <a16:creationId xmlns:a16="http://schemas.microsoft.com/office/drawing/2014/main" id="{00000000-0008-0000-0200-000045020000}"/>
            </a:ext>
          </a:extLst>
        </xdr:cNvPr>
        <xdr:cNvSpPr txBox="1"/>
      </xdr:nvSpPr>
      <xdr:spPr>
        <a:xfrm>
          <a:off x="24102060" y="22974300"/>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5265" cy="1661918"/>
    <xdr:sp macro="" textlink="">
      <xdr:nvSpPr>
        <xdr:cNvPr id="582" name="TextBox 581">
          <a:extLst>
            <a:ext uri="{FF2B5EF4-FFF2-40B4-BE49-F238E27FC236}">
              <a16:creationId xmlns:a16="http://schemas.microsoft.com/office/drawing/2014/main" id="{00000000-0008-0000-0200-000046020000}"/>
            </a:ext>
          </a:extLst>
        </xdr:cNvPr>
        <xdr:cNvSpPr txBox="1"/>
      </xdr:nvSpPr>
      <xdr:spPr>
        <a:xfrm>
          <a:off x="24102060" y="22974300"/>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945" cy="1661918"/>
    <xdr:sp macro="" textlink="">
      <xdr:nvSpPr>
        <xdr:cNvPr id="583" name="TextBox 582">
          <a:extLst>
            <a:ext uri="{FF2B5EF4-FFF2-40B4-BE49-F238E27FC236}">
              <a16:creationId xmlns:a16="http://schemas.microsoft.com/office/drawing/2014/main" id="{00000000-0008-0000-0200-000047020000}"/>
            </a:ext>
          </a:extLst>
        </xdr:cNvPr>
        <xdr:cNvSpPr txBox="1"/>
      </xdr:nvSpPr>
      <xdr:spPr>
        <a:xfrm>
          <a:off x="24102060" y="22974300"/>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2021"/>
    <xdr:sp macro="" textlink="">
      <xdr:nvSpPr>
        <xdr:cNvPr id="584" name="TextBox 583">
          <a:extLst>
            <a:ext uri="{FF2B5EF4-FFF2-40B4-BE49-F238E27FC236}">
              <a16:creationId xmlns:a16="http://schemas.microsoft.com/office/drawing/2014/main" id="{00000000-0008-0000-0200-000048020000}"/>
            </a:ext>
          </a:extLst>
        </xdr:cNvPr>
        <xdr:cNvSpPr txBox="1"/>
      </xdr:nvSpPr>
      <xdr:spPr>
        <a:xfrm>
          <a:off x="24102060" y="22974300"/>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748948"/>
    <xdr:sp macro="" textlink="">
      <xdr:nvSpPr>
        <xdr:cNvPr id="585" name="TextBox 584">
          <a:extLst>
            <a:ext uri="{FF2B5EF4-FFF2-40B4-BE49-F238E27FC236}">
              <a16:creationId xmlns:a16="http://schemas.microsoft.com/office/drawing/2014/main" id="{00000000-0008-0000-0200-000049020000}"/>
            </a:ext>
          </a:extLst>
        </xdr:cNvPr>
        <xdr:cNvSpPr txBox="1"/>
      </xdr:nvSpPr>
      <xdr:spPr>
        <a:xfrm>
          <a:off x="24102060" y="18402300"/>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1918"/>
    <xdr:sp macro="" textlink="">
      <xdr:nvSpPr>
        <xdr:cNvPr id="586" name="TextBox 585">
          <a:extLst>
            <a:ext uri="{FF2B5EF4-FFF2-40B4-BE49-F238E27FC236}">
              <a16:creationId xmlns:a16="http://schemas.microsoft.com/office/drawing/2014/main" id="{00000000-0008-0000-0200-00004A020000}"/>
            </a:ext>
          </a:extLst>
        </xdr:cNvPr>
        <xdr:cNvSpPr txBox="1"/>
      </xdr:nvSpPr>
      <xdr:spPr>
        <a:xfrm>
          <a:off x="24102060" y="22974300"/>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587" name="TextBox 586">
          <a:extLst>
            <a:ext uri="{FF2B5EF4-FFF2-40B4-BE49-F238E27FC236}">
              <a16:creationId xmlns:a16="http://schemas.microsoft.com/office/drawing/2014/main" id="{00000000-0008-0000-0200-00004B020000}"/>
            </a:ext>
          </a:extLst>
        </xdr:cNvPr>
        <xdr:cNvSpPr txBox="1"/>
      </xdr:nvSpPr>
      <xdr:spPr>
        <a:xfrm>
          <a:off x="24102060" y="2297430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746584"/>
    <xdr:sp macro="" textlink="">
      <xdr:nvSpPr>
        <xdr:cNvPr id="588" name="TextBox 587">
          <a:extLst>
            <a:ext uri="{FF2B5EF4-FFF2-40B4-BE49-F238E27FC236}">
              <a16:creationId xmlns:a16="http://schemas.microsoft.com/office/drawing/2014/main" id="{00000000-0008-0000-0200-00004C020000}"/>
            </a:ext>
          </a:extLst>
        </xdr:cNvPr>
        <xdr:cNvSpPr txBox="1"/>
      </xdr:nvSpPr>
      <xdr:spPr>
        <a:xfrm>
          <a:off x="24102060" y="18402300"/>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661918"/>
    <xdr:sp macro="" textlink="">
      <xdr:nvSpPr>
        <xdr:cNvPr id="589" name="TextBox 588">
          <a:extLst>
            <a:ext uri="{FF2B5EF4-FFF2-40B4-BE49-F238E27FC236}">
              <a16:creationId xmlns:a16="http://schemas.microsoft.com/office/drawing/2014/main" id="{00000000-0008-0000-0200-00004D020000}"/>
            </a:ext>
          </a:extLst>
        </xdr:cNvPr>
        <xdr:cNvSpPr txBox="1"/>
      </xdr:nvSpPr>
      <xdr:spPr>
        <a:xfrm>
          <a:off x="24102060" y="22974300"/>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00147" cy="1661918"/>
    <xdr:sp macro="" textlink="">
      <xdr:nvSpPr>
        <xdr:cNvPr id="590" name="TextBox 589">
          <a:extLst>
            <a:ext uri="{FF2B5EF4-FFF2-40B4-BE49-F238E27FC236}">
              <a16:creationId xmlns:a16="http://schemas.microsoft.com/office/drawing/2014/main" id="{00000000-0008-0000-0200-00004E020000}"/>
            </a:ext>
          </a:extLst>
        </xdr:cNvPr>
        <xdr:cNvSpPr txBox="1"/>
      </xdr:nvSpPr>
      <xdr:spPr>
        <a:xfrm>
          <a:off x="24102060" y="22974300"/>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592" cy="1661918"/>
    <xdr:sp macro="" textlink="">
      <xdr:nvSpPr>
        <xdr:cNvPr id="591" name="TextBox 590">
          <a:extLst>
            <a:ext uri="{FF2B5EF4-FFF2-40B4-BE49-F238E27FC236}">
              <a16:creationId xmlns:a16="http://schemas.microsoft.com/office/drawing/2014/main" id="{00000000-0008-0000-0200-00004F020000}"/>
            </a:ext>
          </a:extLst>
        </xdr:cNvPr>
        <xdr:cNvSpPr txBox="1"/>
      </xdr:nvSpPr>
      <xdr:spPr>
        <a:xfrm>
          <a:off x="24102060" y="22974300"/>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746584"/>
    <xdr:sp macro="" textlink="">
      <xdr:nvSpPr>
        <xdr:cNvPr id="592" name="TextBox 591">
          <a:extLst>
            <a:ext uri="{FF2B5EF4-FFF2-40B4-BE49-F238E27FC236}">
              <a16:creationId xmlns:a16="http://schemas.microsoft.com/office/drawing/2014/main" id="{00000000-0008-0000-0200-000050020000}"/>
            </a:ext>
          </a:extLst>
        </xdr:cNvPr>
        <xdr:cNvSpPr txBox="1"/>
      </xdr:nvSpPr>
      <xdr:spPr>
        <a:xfrm>
          <a:off x="24102060" y="18402300"/>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661918"/>
    <xdr:sp macro="" textlink="">
      <xdr:nvSpPr>
        <xdr:cNvPr id="593" name="TextBox 592">
          <a:extLst>
            <a:ext uri="{FF2B5EF4-FFF2-40B4-BE49-F238E27FC236}">
              <a16:creationId xmlns:a16="http://schemas.microsoft.com/office/drawing/2014/main" id="{00000000-0008-0000-0200-000051020000}"/>
            </a:ext>
          </a:extLst>
        </xdr:cNvPr>
        <xdr:cNvSpPr txBox="1"/>
      </xdr:nvSpPr>
      <xdr:spPr>
        <a:xfrm>
          <a:off x="24102060" y="22974300"/>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594" name="TextBox 593">
          <a:extLst>
            <a:ext uri="{FF2B5EF4-FFF2-40B4-BE49-F238E27FC236}">
              <a16:creationId xmlns:a16="http://schemas.microsoft.com/office/drawing/2014/main" id="{00000000-0008-0000-0200-000052020000}"/>
            </a:ext>
          </a:extLst>
        </xdr:cNvPr>
        <xdr:cNvSpPr txBox="1"/>
      </xdr:nvSpPr>
      <xdr:spPr>
        <a:xfrm>
          <a:off x="24102060" y="2675382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595" name="TextBox 594">
          <a:extLst>
            <a:ext uri="{FF2B5EF4-FFF2-40B4-BE49-F238E27FC236}">
              <a16:creationId xmlns:a16="http://schemas.microsoft.com/office/drawing/2014/main" id="{00000000-0008-0000-0200-000053020000}"/>
            </a:ext>
          </a:extLst>
        </xdr:cNvPr>
        <xdr:cNvSpPr txBox="1"/>
      </xdr:nvSpPr>
      <xdr:spPr>
        <a:xfrm>
          <a:off x="24102060" y="2675382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0766" cy="1679418"/>
    <xdr:sp macro="" textlink="">
      <xdr:nvSpPr>
        <xdr:cNvPr id="596" name="TextBox 595">
          <a:extLst>
            <a:ext uri="{FF2B5EF4-FFF2-40B4-BE49-F238E27FC236}">
              <a16:creationId xmlns:a16="http://schemas.microsoft.com/office/drawing/2014/main" id="{00000000-0008-0000-0200-000054020000}"/>
            </a:ext>
          </a:extLst>
        </xdr:cNvPr>
        <xdr:cNvSpPr txBox="1"/>
      </xdr:nvSpPr>
      <xdr:spPr>
        <a:xfrm>
          <a:off x="18097500" y="22974300"/>
          <a:ext cx="3560766"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0766" cy="1747852"/>
    <xdr:sp macro="" textlink="">
      <xdr:nvSpPr>
        <xdr:cNvPr id="597" name="TextBox 596">
          <a:extLst>
            <a:ext uri="{FF2B5EF4-FFF2-40B4-BE49-F238E27FC236}">
              <a16:creationId xmlns:a16="http://schemas.microsoft.com/office/drawing/2014/main" id="{00000000-0008-0000-0200-000055020000}"/>
            </a:ext>
          </a:extLst>
        </xdr:cNvPr>
        <xdr:cNvSpPr txBox="1"/>
      </xdr:nvSpPr>
      <xdr:spPr>
        <a:xfrm>
          <a:off x="18097500" y="18402300"/>
          <a:ext cx="3560766"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0766" cy="1682488"/>
    <xdr:sp macro="" textlink="">
      <xdr:nvSpPr>
        <xdr:cNvPr id="598" name="TextBox 597">
          <a:extLst>
            <a:ext uri="{FF2B5EF4-FFF2-40B4-BE49-F238E27FC236}">
              <a16:creationId xmlns:a16="http://schemas.microsoft.com/office/drawing/2014/main" id="{00000000-0008-0000-0200-000056020000}"/>
            </a:ext>
          </a:extLst>
        </xdr:cNvPr>
        <xdr:cNvSpPr txBox="1"/>
      </xdr:nvSpPr>
      <xdr:spPr>
        <a:xfrm>
          <a:off x="18097500" y="22974300"/>
          <a:ext cx="356076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927" cy="1755464"/>
    <xdr:sp macro="" textlink="">
      <xdr:nvSpPr>
        <xdr:cNvPr id="599" name="TextBox 598">
          <a:extLst>
            <a:ext uri="{FF2B5EF4-FFF2-40B4-BE49-F238E27FC236}">
              <a16:creationId xmlns:a16="http://schemas.microsoft.com/office/drawing/2014/main" id="{00000000-0008-0000-0200-000057020000}"/>
            </a:ext>
          </a:extLst>
        </xdr:cNvPr>
        <xdr:cNvSpPr txBox="1"/>
      </xdr:nvSpPr>
      <xdr:spPr>
        <a:xfrm>
          <a:off x="37631370" y="18402300"/>
          <a:ext cx="3555927"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927" cy="1682488"/>
    <xdr:sp macro="" textlink="">
      <xdr:nvSpPr>
        <xdr:cNvPr id="600" name="TextBox 599">
          <a:extLst>
            <a:ext uri="{FF2B5EF4-FFF2-40B4-BE49-F238E27FC236}">
              <a16:creationId xmlns:a16="http://schemas.microsoft.com/office/drawing/2014/main" id="{00000000-0008-0000-0200-000058020000}"/>
            </a:ext>
          </a:extLst>
        </xdr:cNvPr>
        <xdr:cNvSpPr txBox="1"/>
      </xdr:nvSpPr>
      <xdr:spPr>
        <a:xfrm>
          <a:off x="37631370" y="22974300"/>
          <a:ext cx="3555927"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682488"/>
    <xdr:sp macro="" textlink="">
      <xdr:nvSpPr>
        <xdr:cNvPr id="601" name="TextBox 600">
          <a:extLst>
            <a:ext uri="{FF2B5EF4-FFF2-40B4-BE49-F238E27FC236}">
              <a16:creationId xmlns:a16="http://schemas.microsoft.com/office/drawing/2014/main" id="{00000000-0008-0000-0200-000059020000}"/>
            </a:ext>
          </a:extLst>
        </xdr:cNvPr>
        <xdr:cNvSpPr txBox="1"/>
      </xdr:nvSpPr>
      <xdr:spPr>
        <a:xfrm>
          <a:off x="38477190" y="2297430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682488"/>
    <xdr:sp macro="" textlink="">
      <xdr:nvSpPr>
        <xdr:cNvPr id="603" name="TextBox 602">
          <a:extLst>
            <a:ext uri="{FF2B5EF4-FFF2-40B4-BE49-F238E27FC236}">
              <a16:creationId xmlns:a16="http://schemas.microsoft.com/office/drawing/2014/main" id="{00000000-0008-0000-0200-00005B020000}"/>
            </a:ext>
          </a:extLst>
        </xdr:cNvPr>
        <xdr:cNvSpPr txBox="1"/>
      </xdr:nvSpPr>
      <xdr:spPr>
        <a:xfrm>
          <a:off x="30022800" y="2297430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846" cy="1682488"/>
    <xdr:sp macro="" textlink="">
      <xdr:nvSpPr>
        <xdr:cNvPr id="604" name="TextBox 603">
          <a:extLst>
            <a:ext uri="{FF2B5EF4-FFF2-40B4-BE49-F238E27FC236}">
              <a16:creationId xmlns:a16="http://schemas.microsoft.com/office/drawing/2014/main" id="{00000000-0008-0000-0200-00005C020000}"/>
            </a:ext>
          </a:extLst>
        </xdr:cNvPr>
        <xdr:cNvSpPr txBox="1"/>
      </xdr:nvSpPr>
      <xdr:spPr>
        <a:xfrm>
          <a:off x="22669500" y="22974300"/>
          <a:ext cx="355584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3718" cy="1682488"/>
    <xdr:sp macro="" textlink="">
      <xdr:nvSpPr>
        <xdr:cNvPr id="605" name="TextBox 604">
          <a:extLst>
            <a:ext uri="{FF2B5EF4-FFF2-40B4-BE49-F238E27FC236}">
              <a16:creationId xmlns:a16="http://schemas.microsoft.com/office/drawing/2014/main" id="{00000000-0008-0000-0200-00005D020000}"/>
            </a:ext>
          </a:extLst>
        </xdr:cNvPr>
        <xdr:cNvSpPr txBox="1"/>
      </xdr:nvSpPr>
      <xdr:spPr>
        <a:xfrm>
          <a:off x="31714440" y="22974300"/>
          <a:ext cx="3523718"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755464"/>
    <xdr:sp macro="" textlink="">
      <xdr:nvSpPr>
        <xdr:cNvPr id="606" name="TextBox 605">
          <a:extLst>
            <a:ext uri="{FF2B5EF4-FFF2-40B4-BE49-F238E27FC236}">
              <a16:creationId xmlns:a16="http://schemas.microsoft.com/office/drawing/2014/main" id="{00000000-0008-0000-0200-00005E020000}"/>
            </a:ext>
          </a:extLst>
        </xdr:cNvPr>
        <xdr:cNvSpPr txBox="1"/>
      </xdr:nvSpPr>
      <xdr:spPr>
        <a:xfrm>
          <a:off x="15045690" y="18402300"/>
          <a:ext cx="3556010"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682488"/>
    <xdr:sp macro="" textlink="">
      <xdr:nvSpPr>
        <xdr:cNvPr id="607" name="TextBox 606">
          <a:extLst>
            <a:ext uri="{FF2B5EF4-FFF2-40B4-BE49-F238E27FC236}">
              <a16:creationId xmlns:a16="http://schemas.microsoft.com/office/drawing/2014/main" id="{00000000-0008-0000-0200-00005F020000}"/>
            </a:ext>
          </a:extLst>
        </xdr:cNvPr>
        <xdr:cNvSpPr txBox="1"/>
      </xdr:nvSpPr>
      <xdr:spPr>
        <a:xfrm>
          <a:off x="15045690" y="2297430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927" cy="1741250"/>
    <xdr:sp macro="" textlink="">
      <xdr:nvSpPr>
        <xdr:cNvPr id="608" name="TextBox 607">
          <a:extLst>
            <a:ext uri="{FF2B5EF4-FFF2-40B4-BE49-F238E27FC236}">
              <a16:creationId xmlns:a16="http://schemas.microsoft.com/office/drawing/2014/main" id="{00000000-0008-0000-0200-000060020000}"/>
            </a:ext>
          </a:extLst>
        </xdr:cNvPr>
        <xdr:cNvSpPr txBox="1"/>
      </xdr:nvSpPr>
      <xdr:spPr>
        <a:xfrm>
          <a:off x="12912090" y="26753820"/>
          <a:ext cx="3555927"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741250"/>
    <xdr:sp macro="" textlink="">
      <xdr:nvSpPr>
        <xdr:cNvPr id="609" name="TextBox 608">
          <a:extLst>
            <a:ext uri="{FF2B5EF4-FFF2-40B4-BE49-F238E27FC236}">
              <a16:creationId xmlns:a16="http://schemas.microsoft.com/office/drawing/2014/main" id="{00000000-0008-0000-0200-000061020000}"/>
            </a:ext>
          </a:extLst>
        </xdr:cNvPr>
        <xdr:cNvSpPr txBox="1"/>
      </xdr:nvSpPr>
      <xdr:spPr>
        <a:xfrm>
          <a:off x="35939730" y="26753820"/>
          <a:ext cx="3556010"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7719" cy="1679418"/>
    <xdr:sp macro="" textlink="">
      <xdr:nvSpPr>
        <xdr:cNvPr id="610" name="TextBox 609">
          <a:extLst>
            <a:ext uri="{FF2B5EF4-FFF2-40B4-BE49-F238E27FC236}">
              <a16:creationId xmlns:a16="http://schemas.microsoft.com/office/drawing/2014/main" id="{00000000-0008-0000-0200-000062020000}"/>
            </a:ext>
          </a:extLst>
        </xdr:cNvPr>
        <xdr:cNvSpPr txBox="1"/>
      </xdr:nvSpPr>
      <xdr:spPr>
        <a:xfrm>
          <a:off x="7124700" y="22974300"/>
          <a:ext cx="3537719"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7719" cy="1747852"/>
    <xdr:sp macro="" textlink="">
      <xdr:nvSpPr>
        <xdr:cNvPr id="611" name="TextBox 610">
          <a:extLst>
            <a:ext uri="{FF2B5EF4-FFF2-40B4-BE49-F238E27FC236}">
              <a16:creationId xmlns:a16="http://schemas.microsoft.com/office/drawing/2014/main" id="{00000000-0008-0000-0200-000063020000}"/>
            </a:ext>
          </a:extLst>
        </xdr:cNvPr>
        <xdr:cNvSpPr txBox="1"/>
      </xdr:nvSpPr>
      <xdr:spPr>
        <a:xfrm>
          <a:off x="7124700" y="18402300"/>
          <a:ext cx="3537719"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7719" cy="1672229"/>
    <xdr:sp macro="" textlink="">
      <xdr:nvSpPr>
        <xdr:cNvPr id="612" name="TextBox 611">
          <a:extLst>
            <a:ext uri="{FF2B5EF4-FFF2-40B4-BE49-F238E27FC236}">
              <a16:creationId xmlns:a16="http://schemas.microsoft.com/office/drawing/2014/main" id="{00000000-0008-0000-0200-000064020000}"/>
            </a:ext>
          </a:extLst>
        </xdr:cNvPr>
        <xdr:cNvSpPr txBox="1"/>
      </xdr:nvSpPr>
      <xdr:spPr>
        <a:xfrm>
          <a:off x="7124700" y="22974300"/>
          <a:ext cx="3537719"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613" name="TextBox 612">
          <a:extLst>
            <a:ext uri="{FF2B5EF4-FFF2-40B4-BE49-F238E27FC236}">
              <a16:creationId xmlns:a16="http://schemas.microsoft.com/office/drawing/2014/main" id="{00000000-0008-0000-0200-000065020000}"/>
            </a:ext>
          </a:extLst>
        </xdr:cNvPr>
        <xdr:cNvSpPr txBox="1"/>
      </xdr:nvSpPr>
      <xdr:spPr>
        <a:xfrm>
          <a:off x="9871710" y="2297430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382" cy="1755464"/>
    <xdr:sp macro="" textlink="">
      <xdr:nvSpPr>
        <xdr:cNvPr id="614" name="TextBox 613">
          <a:extLst>
            <a:ext uri="{FF2B5EF4-FFF2-40B4-BE49-F238E27FC236}">
              <a16:creationId xmlns:a16="http://schemas.microsoft.com/office/drawing/2014/main" id="{00000000-0008-0000-0200-000066020000}"/>
            </a:ext>
          </a:extLst>
        </xdr:cNvPr>
        <xdr:cNvSpPr txBox="1"/>
      </xdr:nvSpPr>
      <xdr:spPr>
        <a:xfrm>
          <a:off x="18406110" y="18402300"/>
          <a:ext cx="3544382"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382" cy="1672229"/>
    <xdr:sp macro="" textlink="">
      <xdr:nvSpPr>
        <xdr:cNvPr id="615" name="TextBox 614">
          <a:extLst>
            <a:ext uri="{FF2B5EF4-FFF2-40B4-BE49-F238E27FC236}">
              <a16:creationId xmlns:a16="http://schemas.microsoft.com/office/drawing/2014/main" id="{00000000-0008-0000-0200-000067020000}"/>
            </a:ext>
          </a:extLst>
        </xdr:cNvPr>
        <xdr:cNvSpPr txBox="1"/>
      </xdr:nvSpPr>
      <xdr:spPr>
        <a:xfrm>
          <a:off x="18406110" y="22974300"/>
          <a:ext cx="3544382"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616" name="TextBox 615">
          <a:extLst>
            <a:ext uri="{FF2B5EF4-FFF2-40B4-BE49-F238E27FC236}">
              <a16:creationId xmlns:a16="http://schemas.microsoft.com/office/drawing/2014/main" id="{00000000-0008-0000-0200-000068020000}"/>
            </a:ext>
          </a:extLst>
        </xdr:cNvPr>
        <xdr:cNvSpPr txBox="1"/>
      </xdr:nvSpPr>
      <xdr:spPr>
        <a:xfrm>
          <a:off x="17491710" y="2297430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55464"/>
    <xdr:sp macro="" textlink="">
      <xdr:nvSpPr>
        <xdr:cNvPr id="617" name="TextBox 616">
          <a:extLst>
            <a:ext uri="{FF2B5EF4-FFF2-40B4-BE49-F238E27FC236}">
              <a16:creationId xmlns:a16="http://schemas.microsoft.com/office/drawing/2014/main" id="{00000000-0008-0000-0200-000069020000}"/>
            </a:ext>
          </a:extLst>
        </xdr:cNvPr>
        <xdr:cNvSpPr txBox="1"/>
      </xdr:nvSpPr>
      <xdr:spPr>
        <a:xfrm>
          <a:off x="32000190" y="18402300"/>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618" name="TextBox 617">
          <a:extLst>
            <a:ext uri="{FF2B5EF4-FFF2-40B4-BE49-F238E27FC236}">
              <a16:creationId xmlns:a16="http://schemas.microsoft.com/office/drawing/2014/main" id="{00000000-0008-0000-0200-00006A020000}"/>
            </a:ext>
          </a:extLst>
        </xdr:cNvPr>
        <xdr:cNvSpPr txBox="1"/>
      </xdr:nvSpPr>
      <xdr:spPr>
        <a:xfrm>
          <a:off x="32000190" y="2297430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2831" cy="1672229"/>
    <xdr:sp macro="" textlink="">
      <xdr:nvSpPr>
        <xdr:cNvPr id="619" name="TextBox 618">
          <a:extLst>
            <a:ext uri="{FF2B5EF4-FFF2-40B4-BE49-F238E27FC236}">
              <a16:creationId xmlns:a16="http://schemas.microsoft.com/office/drawing/2014/main" id="{00000000-0008-0000-0200-00006B020000}"/>
            </a:ext>
          </a:extLst>
        </xdr:cNvPr>
        <xdr:cNvSpPr txBox="1"/>
      </xdr:nvSpPr>
      <xdr:spPr>
        <a:xfrm>
          <a:off x="24947880" y="22974300"/>
          <a:ext cx="3532831"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55464"/>
    <xdr:sp macro="" textlink="">
      <xdr:nvSpPr>
        <xdr:cNvPr id="620" name="TextBox 619">
          <a:extLst>
            <a:ext uri="{FF2B5EF4-FFF2-40B4-BE49-F238E27FC236}">
              <a16:creationId xmlns:a16="http://schemas.microsoft.com/office/drawing/2014/main" id="{00000000-0008-0000-0200-00006C020000}"/>
            </a:ext>
          </a:extLst>
        </xdr:cNvPr>
        <xdr:cNvSpPr txBox="1"/>
      </xdr:nvSpPr>
      <xdr:spPr>
        <a:xfrm>
          <a:off x="21454110" y="18402300"/>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621" name="TextBox 620">
          <a:extLst>
            <a:ext uri="{FF2B5EF4-FFF2-40B4-BE49-F238E27FC236}">
              <a16:creationId xmlns:a16="http://schemas.microsoft.com/office/drawing/2014/main" id="{00000000-0008-0000-0200-00006D020000}"/>
            </a:ext>
          </a:extLst>
        </xdr:cNvPr>
        <xdr:cNvSpPr txBox="1"/>
      </xdr:nvSpPr>
      <xdr:spPr>
        <a:xfrm>
          <a:off x="21454110" y="2297430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206</xdr:row>
      <xdr:rowOff>0</xdr:rowOff>
    </xdr:from>
    <xdr:ext cx="3544382" cy="1741250"/>
    <xdr:sp macro="" textlink="">
      <xdr:nvSpPr>
        <xdr:cNvPr id="622" name="TextBox 621">
          <a:extLst>
            <a:ext uri="{FF2B5EF4-FFF2-40B4-BE49-F238E27FC236}">
              <a16:creationId xmlns:a16="http://schemas.microsoft.com/office/drawing/2014/main" id="{00000000-0008-0000-0200-00006E020000}"/>
            </a:ext>
          </a:extLst>
        </xdr:cNvPr>
        <xdr:cNvSpPr txBox="1"/>
      </xdr:nvSpPr>
      <xdr:spPr>
        <a:xfrm>
          <a:off x="17796510" y="29230320"/>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3544381</xdr:colOff>
      <xdr:row>307</xdr:row>
      <xdr:rowOff>0</xdr:rowOff>
    </xdr:from>
    <xdr:ext cx="45719" cy="213360"/>
    <xdr:sp macro="" textlink="">
      <xdr:nvSpPr>
        <xdr:cNvPr id="625" name="TextBox 624">
          <a:extLst>
            <a:ext uri="{FF2B5EF4-FFF2-40B4-BE49-F238E27FC236}">
              <a16:creationId xmlns:a16="http://schemas.microsoft.com/office/drawing/2014/main" id="{00000000-0008-0000-0200-000071020000}"/>
            </a:ext>
          </a:extLst>
        </xdr:cNvPr>
        <xdr:cNvSpPr txBox="1"/>
      </xdr:nvSpPr>
      <xdr:spPr>
        <a:xfrm flipH="1">
          <a:off x="12673141" y="77571600"/>
          <a:ext cx="45719" cy="213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0</xdr:col>
      <xdr:colOff>0</xdr:colOff>
      <xdr:row>206</xdr:row>
      <xdr:rowOff>0</xdr:rowOff>
    </xdr:from>
    <xdr:ext cx="45719" cy="213360"/>
    <xdr:sp macro="" textlink="">
      <xdr:nvSpPr>
        <xdr:cNvPr id="628" name="TextBox 627">
          <a:extLst>
            <a:ext uri="{FF2B5EF4-FFF2-40B4-BE49-F238E27FC236}">
              <a16:creationId xmlns:a16="http://schemas.microsoft.com/office/drawing/2014/main" id="{00000000-0008-0000-0200-000074020000}"/>
            </a:ext>
          </a:extLst>
        </xdr:cNvPr>
        <xdr:cNvSpPr txBox="1"/>
      </xdr:nvSpPr>
      <xdr:spPr>
        <a:xfrm>
          <a:off x="0" y="52197000"/>
          <a:ext cx="45719" cy="213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203</xdr:row>
      <xdr:rowOff>84667</xdr:rowOff>
    </xdr:from>
    <xdr:ext cx="148167" cy="317500"/>
    <xdr:sp macro="" textlink="">
      <xdr:nvSpPr>
        <xdr:cNvPr id="623" name="TextBox 622">
          <a:extLst>
            <a:ext uri="{FF2B5EF4-FFF2-40B4-BE49-F238E27FC236}">
              <a16:creationId xmlns:a16="http://schemas.microsoft.com/office/drawing/2014/main" id="{8EBFCFC1-E9B4-4A14-A079-3183849161EE}"/>
            </a:ext>
          </a:extLst>
        </xdr:cNvPr>
        <xdr:cNvSpPr txBox="1"/>
      </xdr:nvSpPr>
      <xdr:spPr>
        <a:xfrm>
          <a:off x="5305425" y="51929242"/>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205</xdr:row>
      <xdr:rowOff>84667</xdr:rowOff>
    </xdr:from>
    <xdr:ext cx="148167" cy="317500"/>
    <xdr:sp macro="" textlink="">
      <xdr:nvSpPr>
        <xdr:cNvPr id="624" name="TextBox 623">
          <a:extLst>
            <a:ext uri="{FF2B5EF4-FFF2-40B4-BE49-F238E27FC236}">
              <a16:creationId xmlns:a16="http://schemas.microsoft.com/office/drawing/2014/main" id="{A9FB2FDA-D713-4FCD-BBEE-69DB01010BD4}"/>
            </a:ext>
          </a:extLst>
        </xdr:cNvPr>
        <xdr:cNvSpPr txBox="1"/>
      </xdr:nvSpPr>
      <xdr:spPr>
        <a:xfrm>
          <a:off x="5305425" y="53081767"/>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203</xdr:row>
      <xdr:rowOff>84667</xdr:rowOff>
    </xdr:from>
    <xdr:ext cx="148167" cy="317500"/>
    <xdr:sp macro="" textlink="">
      <xdr:nvSpPr>
        <xdr:cNvPr id="626" name="TextBox 625">
          <a:extLst>
            <a:ext uri="{FF2B5EF4-FFF2-40B4-BE49-F238E27FC236}">
              <a16:creationId xmlns:a16="http://schemas.microsoft.com/office/drawing/2014/main" id="{110A01E8-2727-4E49-B585-BBD7B0BEFFDC}"/>
            </a:ext>
          </a:extLst>
        </xdr:cNvPr>
        <xdr:cNvSpPr txBox="1"/>
      </xdr:nvSpPr>
      <xdr:spPr>
        <a:xfrm>
          <a:off x="5305425" y="51929242"/>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203</xdr:row>
      <xdr:rowOff>84667</xdr:rowOff>
    </xdr:from>
    <xdr:ext cx="148167" cy="317500"/>
    <xdr:sp macro="" textlink="">
      <xdr:nvSpPr>
        <xdr:cNvPr id="627" name="TextBox 626">
          <a:extLst>
            <a:ext uri="{FF2B5EF4-FFF2-40B4-BE49-F238E27FC236}">
              <a16:creationId xmlns:a16="http://schemas.microsoft.com/office/drawing/2014/main" id="{52352D69-57D3-4421-B483-6A573BA5E1C2}"/>
            </a:ext>
          </a:extLst>
        </xdr:cNvPr>
        <xdr:cNvSpPr txBox="1"/>
      </xdr:nvSpPr>
      <xdr:spPr>
        <a:xfrm>
          <a:off x="5305425" y="51929242"/>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201</xdr:row>
      <xdr:rowOff>84667</xdr:rowOff>
    </xdr:from>
    <xdr:ext cx="148167" cy="317500"/>
    <xdr:sp macro="" textlink="">
      <xdr:nvSpPr>
        <xdr:cNvPr id="629" name="TextBox 628">
          <a:extLst>
            <a:ext uri="{FF2B5EF4-FFF2-40B4-BE49-F238E27FC236}">
              <a16:creationId xmlns:a16="http://schemas.microsoft.com/office/drawing/2014/main" id="{114854A4-500F-4513-B996-CFAB67CDF04C}"/>
            </a:ext>
          </a:extLst>
        </xdr:cNvPr>
        <xdr:cNvSpPr txBox="1"/>
      </xdr:nvSpPr>
      <xdr:spPr>
        <a:xfrm>
          <a:off x="5305425" y="51595867"/>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201</xdr:row>
      <xdr:rowOff>84667</xdr:rowOff>
    </xdr:from>
    <xdr:ext cx="148167" cy="317500"/>
    <xdr:sp macro="" textlink="">
      <xdr:nvSpPr>
        <xdr:cNvPr id="630" name="TextBox 629">
          <a:extLst>
            <a:ext uri="{FF2B5EF4-FFF2-40B4-BE49-F238E27FC236}">
              <a16:creationId xmlns:a16="http://schemas.microsoft.com/office/drawing/2014/main" id="{1D733B9D-5F14-4ADB-9772-F192B2D531F9}"/>
            </a:ext>
          </a:extLst>
        </xdr:cNvPr>
        <xdr:cNvSpPr txBox="1"/>
      </xdr:nvSpPr>
      <xdr:spPr>
        <a:xfrm>
          <a:off x="5305425" y="51595867"/>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203</xdr:row>
      <xdr:rowOff>84667</xdr:rowOff>
    </xdr:from>
    <xdr:ext cx="148167" cy="317500"/>
    <xdr:sp macro="" textlink="">
      <xdr:nvSpPr>
        <xdr:cNvPr id="631" name="TextBox 630">
          <a:extLst>
            <a:ext uri="{FF2B5EF4-FFF2-40B4-BE49-F238E27FC236}">
              <a16:creationId xmlns:a16="http://schemas.microsoft.com/office/drawing/2014/main" id="{C223CF5A-BC00-479C-B210-A896A623B639}"/>
            </a:ext>
          </a:extLst>
        </xdr:cNvPr>
        <xdr:cNvSpPr txBox="1"/>
      </xdr:nvSpPr>
      <xdr:spPr>
        <a:xfrm>
          <a:off x="5305425" y="51929242"/>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205</xdr:row>
      <xdr:rowOff>84667</xdr:rowOff>
    </xdr:from>
    <xdr:ext cx="148167" cy="317500"/>
    <xdr:sp macro="" textlink="">
      <xdr:nvSpPr>
        <xdr:cNvPr id="632" name="TextBox 631">
          <a:extLst>
            <a:ext uri="{FF2B5EF4-FFF2-40B4-BE49-F238E27FC236}">
              <a16:creationId xmlns:a16="http://schemas.microsoft.com/office/drawing/2014/main" id="{175804C0-FAAC-42D1-9DC8-D3B36BE38623}"/>
            </a:ext>
          </a:extLst>
        </xdr:cNvPr>
        <xdr:cNvSpPr txBox="1"/>
      </xdr:nvSpPr>
      <xdr:spPr>
        <a:xfrm>
          <a:off x="5305425" y="53081767"/>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203</xdr:row>
      <xdr:rowOff>84667</xdr:rowOff>
    </xdr:from>
    <xdr:ext cx="148167" cy="317500"/>
    <xdr:sp macro="" textlink="">
      <xdr:nvSpPr>
        <xdr:cNvPr id="633" name="TextBox 632">
          <a:extLst>
            <a:ext uri="{FF2B5EF4-FFF2-40B4-BE49-F238E27FC236}">
              <a16:creationId xmlns:a16="http://schemas.microsoft.com/office/drawing/2014/main" id="{6BF3772C-75D1-4FE3-9C95-5D6A2CE4A421}"/>
            </a:ext>
          </a:extLst>
        </xdr:cNvPr>
        <xdr:cNvSpPr txBox="1"/>
      </xdr:nvSpPr>
      <xdr:spPr>
        <a:xfrm>
          <a:off x="5305425" y="51929242"/>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203</xdr:row>
      <xdr:rowOff>84667</xdr:rowOff>
    </xdr:from>
    <xdr:ext cx="148167" cy="317500"/>
    <xdr:sp macro="" textlink="">
      <xdr:nvSpPr>
        <xdr:cNvPr id="634" name="TextBox 633">
          <a:extLst>
            <a:ext uri="{FF2B5EF4-FFF2-40B4-BE49-F238E27FC236}">
              <a16:creationId xmlns:a16="http://schemas.microsoft.com/office/drawing/2014/main" id="{76B89125-CEA7-47A3-93D2-619CDBF75755}"/>
            </a:ext>
          </a:extLst>
        </xdr:cNvPr>
        <xdr:cNvSpPr txBox="1"/>
      </xdr:nvSpPr>
      <xdr:spPr>
        <a:xfrm>
          <a:off x="5305425" y="51929242"/>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201</xdr:row>
      <xdr:rowOff>84667</xdr:rowOff>
    </xdr:from>
    <xdr:ext cx="148167" cy="317500"/>
    <xdr:sp macro="" textlink="">
      <xdr:nvSpPr>
        <xdr:cNvPr id="635" name="TextBox 634">
          <a:extLst>
            <a:ext uri="{FF2B5EF4-FFF2-40B4-BE49-F238E27FC236}">
              <a16:creationId xmlns:a16="http://schemas.microsoft.com/office/drawing/2014/main" id="{A96F6F35-A015-4D10-894A-D46472646A8F}"/>
            </a:ext>
          </a:extLst>
        </xdr:cNvPr>
        <xdr:cNvSpPr txBox="1"/>
      </xdr:nvSpPr>
      <xdr:spPr>
        <a:xfrm>
          <a:off x="5305425" y="51595867"/>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201</xdr:row>
      <xdr:rowOff>84667</xdr:rowOff>
    </xdr:from>
    <xdr:ext cx="148167" cy="317500"/>
    <xdr:sp macro="" textlink="">
      <xdr:nvSpPr>
        <xdr:cNvPr id="636" name="TextBox 635">
          <a:extLst>
            <a:ext uri="{FF2B5EF4-FFF2-40B4-BE49-F238E27FC236}">
              <a16:creationId xmlns:a16="http://schemas.microsoft.com/office/drawing/2014/main" id="{2F73CF6E-2F36-4A53-B3C5-CBE845F804AD}"/>
            </a:ext>
          </a:extLst>
        </xdr:cNvPr>
        <xdr:cNvSpPr txBox="1"/>
      </xdr:nvSpPr>
      <xdr:spPr>
        <a:xfrm>
          <a:off x="5305425" y="51595867"/>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203</xdr:row>
      <xdr:rowOff>84667</xdr:rowOff>
    </xdr:from>
    <xdr:ext cx="148167" cy="317500"/>
    <xdr:sp macro="" textlink="">
      <xdr:nvSpPr>
        <xdr:cNvPr id="637" name="TextBox 636">
          <a:extLst>
            <a:ext uri="{FF2B5EF4-FFF2-40B4-BE49-F238E27FC236}">
              <a16:creationId xmlns:a16="http://schemas.microsoft.com/office/drawing/2014/main" id="{8C2CBCC6-D22B-4E64-AA9F-9EB46A0E7AD2}"/>
            </a:ext>
          </a:extLst>
        </xdr:cNvPr>
        <xdr:cNvSpPr txBox="1"/>
      </xdr:nvSpPr>
      <xdr:spPr>
        <a:xfrm>
          <a:off x="5305425" y="51929242"/>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205</xdr:row>
      <xdr:rowOff>84667</xdr:rowOff>
    </xdr:from>
    <xdr:ext cx="148167" cy="317500"/>
    <xdr:sp macro="" textlink="">
      <xdr:nvSpPr>
        <xdr:cNvPr id="638" name="TextBox 637">
          <a:extLst>
            <a:ext uri="{FF2B5EF4-FFF2-40B4-BE49-F238E27FC236}">
              <a16:creationId xmlns:a16="http://schemas.microsoft.com/office/drawing/2014/main" id="{95B38F90-AE22-43F6-9ED9-292A4F35A3D9}"/>
            </a:ext>
          </a:extLst>
        </xdr:cNvPr>
        <xdr:cNvSpPr txBox="1"/>
      </xdr:nvSpPr>
      <xdr:spPr>
        <a:xfrm>
          <a:off x="5305425" y="53081767"/>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rol/Desktop/Paul_work/Alaska/Documents%20and%20Settings/Paul/Application%20Data/Microsoft/Excel/ORWAPv1.5_Explanatio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aul/documents/AtlanticMaritimes/Calculator/CalculatorsOldVersions/WESPAKse_Nontidal_v1.5_4Oct20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arol/Desktop/Paul_work/Alaska/Documents%20and%20Settings/Paul/Application%20Data/Microsoft/Excel/ORWAP_08/Macro2/ORWAP_Macro/ORWAP_Macro/ORWAP%20RK%20batch.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lScores"/>
      <sheetName val="CoverPg"/>
      <sheetName val="Sketch"/>
      <sheetName val="OF"/>
      <sheetName val="FieldF"/>
      <sheetName val="FieldS"/>
      <sheetName val="Matrix"/>
      <sheetName val="WS"/>
      <sheetName val="SR"/>
      <sheetName val="PR"/>
      <sheetName val="NR"/>
      <sheetName val="T"/>
      <sheetName val="CS"/>
      <sheetName val="OE"/>
      <sheetName val="INV"/>
      <sheetName val="FA"/>
      <sheetName val="FR"/>
      <sheetName val="AM"/>
      <sheetName val="WBF"/>
      <sheetName val="WBN"/>
      <sheetName val="SBM"/>
      <sheetName val="POL"/>
      <sheetName val="PD"/>
      <sheetName val="STR"/>
      <sheetName val="Sen"/>
      <sheetName val="CQ"/>
      <sheetName val="PU"/>
      <sheetName val="PS"/>
      <sheetName val="HGM"/>
      <sheetName val="Plants"/>
      <sheetName val="Verts"/>
      <sheetName val="InvertsNonNativ"/>
      <sheetName val="InvertsRare"/>
      <sheetName val="IBAs"/>
      <sheetName val="WQprob"/>
      <sheetName val="NWIstats"/>
      <sheetName val="HydricTab"/>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D2">
            <v>0</v>
          </cell>
        </row>
        <row r="3">
          <cell r="G3">
            <v>0</v>
          </cell>
        </row>
        <row r="5">
          <cell r="D5">
            <v>0</v>
          </cell>
        </row>
        <row r="6">
          <cell r="D6">
            <v>1</v>
          </cell>
        </row>
        <row r="8">
          <cell r="G8">
            <v>0</v>
          </cell>
        </row>
        <row r="9">
          <cell r="D9">
            <v>0</v>
          </cell>
        </row>
        <row r="10">
          <cell r="D10">
            <v>0</v>
          </cell>
        </row>
        <row r="15">
          <cell r="G15">
            <v>0</v>
          </cell>
        </row>
        <row r="22">
          <cell r="G22">
            <v>0.3</v>
          </cell>
        </row>
        <row r="29">
          <cell r="G29">
            <v>1</v>
          </cell>
        </row>
        <row r="36">
          <cell r="G36">
            <v>0.25</v>
          </cell>
        </row>
        <row r="42">
          <cell r="G42">
            <v>0.6</v>
          </cell>
        </row>
        <row r="48">
          <cell r="G48">
            <v>0</v>
          </cell>
        </row>
        <row r="52">
          <cell r="D52">
            <v>0</v>
          </cell>
        </row>
        <row r="53">
          <cell r="G53">
            <v>1</v>
          </cell>
        </row>
        <row r="56">
          <cell r="G56">
            <v>0</v>
          </cell>
        </row>
        <row r="62">
          <cell r="G62">
            <v>1</v>
          </cell>
        </row>
        <row r="63">
          <cell r="G63">
            <v>0.5</v>
          </cell>
        </row>
        <row r="67">
          <cell r="G67">
            <v>1</v>
          </cell>
        </row>
        <row r="72">
          <cell r="G72">
            <v>1</v>
          </cell>
        </row>
        <row r="75">
          <cell r="G75">
            <v>0</v>
          </cell>
        </row>
        <row r="79">
          <cell r="G79">
            <v>1</v>
          </cell>
        </row>
        <row r="84">
          <cell r="G84">
            <v>1</v>
          </cell>
        </row>
        <row r="88">
          <cell r="G88">
            <v>0</v>
          </cell>
        </row>
        <row r="92">
          <cell r="G92">
            <v>1</v>
          </cell>
        </row>
        <row r="96">
          <cell r="G96">
            <v>0</v>
          </cell>
        </row>
        <row r="102">
          <cell r="G102">
            <v>0</v>
          </cell>
        </row>
        <row r="106">
          <cell r="G106">
            <v>1</v>
          </cell>
        </row>
        <row r="111">
          <cell r="G111">
            <v>0.5357142857142857</v>
          </cell>
        </row>
        <row r="112">
          <cell r="G112">
            <v>0.53749999999999998</v>
          </cell>
        </row>
        <row r="113">
          <cell r="G113" t="b">
            <v>1</v>
          </cell>
        </row>
      </sheetData>
      <sheetData sheetId="8">
        <row r="2">
          <cell r="D2">
            <v>0</v>
          </cell>
        </row>
        <row r="3">
          <cell r="G3">
            <v>0</v>
          </cell>
        </row>
        <row r="9">
          <cell r="D9">
            <v>0</v>
          </cell>
        </row>
        <row r="10">
          <cell r="G10">
            <v>0</v>
          </cell>
        </row>
        <row r="17">
          <cell r="G17">
            <v>1</v>
          </cell>
        </row>
        <row r="24">
          <cell r="G24">
            <v>0</v>
          </cell>
        </row>
        <row r="30">
          <cell r="G30">
            <v>0.75</v>
          </cell>
        </row>
        <row r="36">
          <cell r="G36">
            <v>0</v>
          </cell>
        </row>
        <row r="40">
          <cell r="D40">
            <v>0</v>
          </cell>
        </row>
        <row r="41">
          <cell r="G41">
            <v>1</v>
          </cell>
        </row>
        <row r="44">
          <cell r="G44">
            <v>0</v>
          </cell>
        </row>
        <row r="50">
          <cell r="G50">
            <v>0</v>
          </cell>
        </row>
        <row r="56">
          <cell r="G56">
            <v>1</v>
          </cell>
        </row>
        <row r="61">
          <cell r="G61">
            <v>0.5</v>
          </cell>
        </row>
        <row r="65">
          <cell r="G65">
            <v>1</v>
          </cell>
        </row>
        <row r="70">
          <cell r="G70">
            <v>1</v>
          </cell>
        </row>
        <row r="75">
          <cell r="G75">
            <v>0</v>
          </cell>
        </row>
        <row r="81">
          <cell r="G81">
            <v>1</v>
          </cell>
        </row>
        <row r="85">
          <cell r="G85">
            <v>1</v>
          </cell>
        </row>
        <row r="90">
          <cell r="G90">
            <v>0</v>
          </cell>
        </row>
        <row r="94">
          <cell r="G94">
            <v>0</v>
          </cell>
        </row>
        <row r="98">
          <cell r="G98">
            <v>1</v>
          </cell>
        </row>
        <row r="102">
          <cell r="G102">
            <v>0</v>
          </cell>
        </row>
        <row r="109">
          <cell r="D109">
            <v>0</v>
          </cell>
        </row>
        <row r="112">
          <cell r="G112">
            <v>0</v>
          </cell>
        </row>
        <row r="116">
          <cell r="G116">
            <v>0</v>
          </cell>
        </row>
        <row r="117">
          <cell r="G117">
            <v>0</v>
          </cell>
        </row>
        <row r="123">
          <cell r="G123">
            <v>0.83333333333333337</v>
          </cell>
        </row>
        <row r="130">
          <cell r="G130">
            <v>0.75</v>
          </cell>
        </row>
        <row r="139">
          <cell r="G139">
            <v>0</v>
          </cell>
        </row>
        <row r="146">
          <cell r="G146">
            <v>0</v>
          </cell>
        </row>
        <row r="150">
          <cell r="G150">
            <v>0</v>
          </cell>
        </row>
        <row r="154">
          <cell r="G154">
            <v>0.5</v>
          </cell>
        </row>
        <row r="160">
          <cell r="G160">
            <v>1</v>
          </cell>
        </row>
      </sheetData>
      <sheetData sheetId="9">
        <row r="2">
          <cell r="D2">
            <v>0</v>
          </cell>
        </row>
        <row r="3">
          <cell r="G3">
            <v>0</v>
          </cell>
        </row>
        <row r="4">
          <cell r="G4">
            <v>0</v>
          </cell>
        </row>
        <row r="10">
          <cell r="G10">
            <v>0</v>
          </cell>
        </row>
        <row r="14">
          <cell r="G14">
            <v>1</v>
          </cell>
        </row>
        <row r="19">
          <cell r="D19">
            <v>0</v>
          </cell>
        </row>
        <row r="20">
          <cell r="G20">
            <v>0</v>
          </cell>
        </row>
        <row r="27">
          <cell r="G27">
            <v>0.75</v>
          </cell>
        </row>
        <row r="34">
          <cell r="G34">
            <v>1</v>
          </cell>
        </row>
        <row r="41">
          <cell r="G41">
            <v>0.2</v>
          </cell>
        </row>
        <row r="47">
          <cell r="G47">
            <v>0.66666666666666663</v>
          </cell>
        </row>
        <row r="53">
          <cell r="G53">
            <v>0</v>
          </cell>
        </row>
        <row r="57">
          <cell r="D57">
            <v>0</v>
          </cell>
        </row>
        <row r="58">
          <cell r="G58">
            <v>1</v>
          </cell>
        </row>
        <row r="61">
          <cell r="G61">
            <v>0</v>
          </cell>
        </row>
        <row r="67">
          <cell r="G67">
            <v>0</v>
          </cell>
        </row>
        <row r="73">
          <cell r="G73">
            <v>1</v>
          </cell>
        </row>
        <row r="74">
          <cell r="G74">
            <v>1</v>
          </cell>
        </row>
        <row r="75">
          <cell r="G75">
            <v>1</v>
          </cell>
        </row>
        <row r="81">
          <cell r="G81">
            <v>1</v>
          </cell>
        </row>
        <row r="86">
          <cell r="G86">
            <v>0</v>
          </cell>
        </row>
        <row r="91">
          <cell r="G91">
            <v>0.5</v>
          </cell>
        </row>
        <row r="95">
          <cell r="G95">
            <v>1</v>
          </cell>
        </row>
        <row r="105">
          <cell r="G105">
            <v>1</v>
          </cell>
        </row>
        <row r="107">
          <cell r="G107">
            <v>1</v>
          </cell>
        </row>
        <row r="111">
          <cell r="G111">
            <v>1</v>
          </cell>
        </row>
        <row r="116">
          <cell r="G116">
            <v>1</v>
          </cell>
        </row>
        <row r="120">
          <cell r="G120">
            <v>0</v>
          </cell>
        </row>
        <row r="124">
          <cell r="G124">
            <v>1</v>
          </cell>
        </row>
        <row r="128">
          <cell r="G128">
            <v>0</v>
          </cell>
        </row>
        <row r="134">
          <cell r="D134">
            <v>0</v>
          </cell>
        </row>
        <row r="137">
          <cell r="G137">
            <v>0</v>
          </cell>
        </row>
        <row r="141">
          <cell r="G141">
            <v>0.33333333333333331</v>
          </cell>
        </row>
        <row r="146">
          <cell r="G146">
            <v>0</v>
          </cell>
        </row>
        <row r="147">
          <cell r="G147">
            <v>0</v>
          </cell>
        </row>
        <row r="150">
          <cell r="G150">
            <v>0.5</v>
          </cell>
        </row>
        <row r="156">
          <cell r="G156">
            <v>1</v>
          </cell>
        </row>
        <row r="160">
          <cell r="G160">
            <v>0.33333333333333331</v>
          </cell>
        </row>
        <row r="161">
          <cell r="G161">
            <v>0.65416666666666656</v>
          </cell>
        </row>
        <row r="162">
          <cell r="G162">
            <v>0.6</v>
          </cell>
        </row>
        <row r="163">
          <cell r="G163">
            <v>0.9</v>
          </cell>
        </row>
        <row r="164">
          <cell r="G164">
            <v>0.625</v>
          </cell>
        </row>
        <row r="165">
          <cell r="G165">
            <v>0.33333333333333331</v>
          </cell>
        </row>
      </sheetData>
      <sheetData sheetId="10">
        <row r="2">
          <cell r="D2">
            <v>0</v>
          </cell>
        </row>
        <row r="3">
          <cell r="D3">
            <v>0</v>
          </cell>
        </row>
        <row r="4">
          <cell r="G4">
            <v>1</v>
          </cell>
        </row>
        <row r="9">
          <cell r="D9">
            <v>0</v>
          </cell>
        </row>
        <row r="10">
          <cell r="G10">
            <v>0</v>
          </cell>
        </row>
        <row r="17">
          <cell r="G17">
            <v>0.5</v>
          </cell>
        </row>
        <row r="24">
          <cell r="G24">
            <v>1</v>
          </cell>
        </row>
        <row r="31">
          <cell r="G31">
            <v>0.25</v>
          </cell>
        </row>
        <row r="37">
          <cell r="G37">
            <v>0.8</v>
          </cell>
        </row>
        <row r="43">
          <cell r="G43">
            <v>0.45</v>
          </cell>
        </row>
        <row r="44">
          <cell r="G44">
            <v>0</v>
          </cell>
        </row>
        <row r="49">
          <cell r="G49">
            <v>0</v>
          </cell>
        </row>
        <row r="53">
          <cell r="D53">
            <v>0</v>
          </cell>
        </row>
        <row r="54">
          <cell r="G54">
            <v>1</v>
          </cell>
        </row>
        <row r="57">
          <cell r="G57">
            <v>0</v>
          </cell>
        </row>
        <row r="63">
          <cell r="G63">
            <v>0</v>
          </cell>
        </row>
        <row r="69">
          <cell r="G69">
            <v>1</v>
          </cell>
        </row>
        <row r="75">
          <cell r="G75">
            <v>1</v>
          </cell>
        </row>
        <row r="80">
          <cell r="G80">
            <v>0</v>
          </cell>
        </row>
        <row r="84">
          <cell r="G84">
            <v>0</v>
          </cell>
        </row>
        <row r="87">
          <cell r="G87">
            <v>0.25</v>
          </cell>
        </row>
        <row r="92">
          <cell r="G92">
            <v>0.66666666666666663</v>
          </cell>
        </row>
        <row r="96">
          <cell r="G96">
            <v>1</v>
          </cell>
        </row>
        <row r="101">
          <cell r="G101">
            <v>1</v>
          </cell>
        </row>
        <row r="102">
          <cell r="G102">
            <v>0</v>
          </cell>
        </row>
        <row r="103">
          <cell r="G103">
            <v>1</v>
          </cell>
        </row>
        <row r="104">
          <cell r="G104">
            <v>1</v>
          </cell>
        </row>
        <row r="107">
          <cell r="G107">
            <v>0</v>
          </cell>
        </row>
        <row r="111">
          <cell r="G111">
            <v>1</v>
          </cell>
        </row>
        <row r="116">
          <cell r="G116">
            <v>0</v>
          </cell>
        </row>
        <row r="120">
          <cell r="G120">
            <v>0</v>
          </cell>
        </row>
        <row r="124">
          <cell r="G124">
            <v>1</v>
          </cell>
        </row>
        <row r="129">
          <cell r="D129">
            <v>0</v>
          </cell>
        </row>
        <row r="132">
          <cell r="G132">
            <v>0</v>
          </cell>
        </row>
        <row r="136">
          <cell r="G136">
            <v>0.5</v>
          </cell>
        </row>
        <row r="139">
          <cell r="G139">
            <v>0</v>
          </cell>
        </row>
        <row r="142">
          <cell r="G142">
            <v>0.66666666666666663</v>
          </cell>
        </row>
        <row r="147">
          <cell r="G147">
            <v>0</v>
          </cell>
        </row>
        <row r="148">
          <cell r="G148">
            <v>0</v>
          </cell>
        </row>
        <row r="151">
          <cell r="G151">
            <v>0</v>
          </cell>
        </row>
        <row r="155">
          <cell r="G155">
            <v>0.5</v>
          </cell>
        </row>
        <row r="161">
          <cell r="G161">
            <v>1</v>
          </cell>
        </row>
        <row r="165">
          <cell r="G165">
            <v>0.66666666666666663</v>
          </cell>
        </row>
        <row r="166">
          <cell r="G166">
            <v>0.63749999999999996</v>
          </cell>
        </row>
        <row r="167">
          <cell r="G167">
            <v>6.25E-2</v>
          </cell>
        </row>
        <row r="168">
          <cell r="G168">
            <v>0.7055555555555556</v>
          </cell>
        </row>
        <row r="169">
          <cell r="G169">
            <v>0.66666666666666663</v>
          </cell>
        </row>
        <row r="170">
          <cell r="G170">
            <v>0.61759259259259258</v>
          </cell>
        </row>
      </sheetData>
      <sheetData sheetId="11">
        <row r="2">
          <cell r="D2">
            <v>0</v>
          </cell>
        </row>
        <row r="3">
          <cell r="D3">
            <v>0</v>
          </cell>
        </row>
        <row r="4">
          <cell r="D4">
            <v>0</v>
          </cell>
        </row>
        <row r="5">
          <cell r="D5">
            <v>0</v>
          </cell>
        </row>
        <row r="6">
          <cell r="G6">
            <v>0</v>
          </cell>
        </row>
        <row r="13">
          <cell r="G13">
            <v>0.66666666666666663</v>
          </cell>
        </row>
        <row r="19">
          <cell r="G19">
            <v>0</v>
          </cell>
        </row>
        <row r="24">
          <cell r="G24">
            <v>1</v>
          </cell>
        </row>
        <row r="28">
          <cell r="D28">
            <v>0</v>
          </cell>
        </row>
        <row r="29">
          <cell r="G29">
            <v>0</v>
          </cell>
        </row>
        <row r="37">
          <cell r="G37">
            <v>1</v>
          </cell>
        </row>
        <row r="39">
          <cell r="D39">
            <v>0</v>
          </cell>
        </row>
        <row r="42">
          <cell r="G42">
            <v>0</v>
          </cell>
        </row>
        <row r="46">
          <cell r="G46" t="b">
            <v>0</v>
          </cell>
        </row>
        <row r="47">
          <cell r="G47" t="b">
            <v>0</v>
          </cell>
        </row>
      </sheetData>
      <sheetData sheetId="12">
        <row r="3">
          <cell r="D3">
            <v>0</v>
          </cell>
        </row>
        <row r="4">
          <cell r="D4">
            <v>0</v>
          </cell>
        </row>
        <row r="15">
          <cell r="G15">
            <v>1</v>
          </cell>
        </row>
        <row r="21">
          <cell r="G21">
            <v>1</v>
          </cell>
        </row>
        <row r="28">
          <cell r="G28">
            <v>0</v>
          </cell>
        </row>
        <row r="35">
          <cell r="G35">
            <v>0.75</v>
          </cell>
        </row>
        <row r="41">
          <cell r="G41">
            <v>0.25</v>
          </cell>
        </row>
        <row r="47">
          <cell r="G47">
            <v>0.25</v>
          </cell>
        </row>
        <row r="53">
          <cell r="G53">
            <v>0</v>
          </cell>
        </row>
        <row r="58">
          <cell r="G58">
            <v>0</v>
          </cell>
        </row>
        <row r="63">
          <cell r="G63">
            <v>1</v>
          </cell>
        </row>
        <row r="66">
          <cell r="G66">
            <v>0</v>
          </cell>
        </row>
        <row r="72">
          <cell r="G72">
            <v>0</v>
          </cell>
        </row>
        <row r="75">
          <cell r="G75">
            <v>0</v>
          </cell>
        </row>
        <row r="81">
          <cell r="G81">
            <v>1</v>
          </cell>
        </row>
        <row r="82">
          <cell r="G82">
            <v>0</v>
          </cell>
        </row>
        <row r="88">
          <cell r="G88">
            <v>0.18181818181818182</v>
          </cell>
        </row>
        <row r="101">
          <cell r="G101">
            <v>1</v>
          </cell>
        </row>
        <row r="107">
          <cell r="G107">
            <v>1</v>
          </cell>
        </row>
        <row r="112">
          <cell r="G112">
            <v>0</v>
          </cell>
        </row>
        <row r="117">
          <cell r="G117">
            <v>0.5</v>
          </cell>
        </row>
        <row r="121">
          <cell r="G121">
            <v>1</v>
          </cell>
        </row>
        <row r="126">
          <cell r="G126">
            <v>1</v>
          </cell>
        </row>
        <row r="131">
          <cell r="G131">
            <v>0</v>
          </cell>
        </row>
        <row r="135">
          <cell r="G135">
            <v>1</v>
          </cell>
        </row>
        <row r="136">
          <cell r="G136">
            <v>1</v>
          </cell>
        </row>
        <row r="137">
          <cell r="G137">
            <v>0.31168831168831168</v>
          </cell>
        </row>
        <row r="138">
          <cell r="G138">
            <v>1</v>
          </cell>
        </row>
        <row r="139">
          <cell r="G139">
            <v>0.5</v>
          </cell>
        </row>
        <row r="140">
          <cell r="G140">
            <v>0.45</v>
          </cell>
        </row>
      </sheetData>
      <sheetData sheetId="13">
        <row r="2">
          <cell r="D2">
            <v>0</v>
          </cell>
        </row>
        <row r="4">
          <cell r="G4">
            <v>0</v>
          </cell>
        </row>
        <row r="10">
          <cell r="G10">
            <v>0</v>
          </cell>
        </row>
        <row r="16">
          <cell r="G16">
            <v>0</v>
          </cell>
        </row>
        <row r="21">
          <cell r="D21">
            <v>0</v>
          </cell>
        </row>
        <row r="22">
          <cell r="G22">
            <v>1</v>
          </cell>
        </row>
        <row r="29">
          <cell r="G29">
            <v>0</v>
          </cell>
        </row>
        <row r="36">
          <cell r="G36">
            <v>0.25</v>
          </cell>
        </row>
        <row r="42">
          <cell r="G42">
            <v>1</v>
          </cell>
        </row>
        <row r="48">
          <cell r="G48">
            <v>0.2</v>
          </cell>
        </row>
        <row r="54">
          <cell r="G54">
            <v>0.45</v>
          </cell>
        </row>
        <row r="55">
          <cell r="G55">
            <v>1</v>
          </cell>
        </row>
        <row r="59">
          <cell r="D59">
            <v>0</v>
          </cell>
        </row>
        <row r="60">
          <cell r="G60">
            <v>0</v>
          </cell>
        </row>
        <row r="63">
          <cell r="G63">
            <v>0</v>
          </cell>
        </row>
        <row r="69">
          <cell r="G69">
            <v>0</v>
          </cell>
        </row>
        <row r="72">
          <cell r="G72">
            <v>0</v>
          </cell>
        </row>
        <row r="78">
          <cell r="G78">
            <v>1</v>
          </cell>
        </row>
        <row r="79">
          <cell r="G79">
            <v>0</v>
          </cell>
        </row>
        <row r="85">
          <cell r="G85">
            <v>1</v>
          </cell>
        </row>
        <row r="91">
          <cell r="G91">
            <v>1</v>
          </cell>
        </row>
        <row r="101">
          <cell r="G101">
            <v>0.5</v>
          </cell>
        </row>
        <row r="105">
          <cell r="G105">
            <v>1</v>
          </cell>
        </row>
        <row r="110">
          <cell r="G110">
            <v>1</v>
          </cell>
        </row>
        <row r="115">
          <cell r="G115">
            <v>1</v>
          </cell>
        </row>
        <row r="116">
          <cell r="G116">
            <v>1</v>
          </cell>
        </row>
        <row r="117">
          <cell r="G117">
            <v>1</v>
          </cell>
        </row>
        <row r="118">
          <cell r="G118">
            <v>0.48333333333333334</v>
          </cell>
        </row>
        <row r="119">
          <cell r="G119">
            <v>0.75</v>
          </cell>
        </row>
        <row r="120">
          <cell r="G120">
            <v>0.45714285714285718</v>
          </cell>
        </row>
        <row r="121">
          <cell r="G121">
            <v>0.7</v>
          </cell>
        </row>
      </sheetData>
      <sheetData sheetId="14">
        <row r="2">
          <cell r="D2">
            <v>0</v>
          </cell>
        </row>
        <row r="3">
          <cell r="D3">
            <v>0</v>
          </cell>
        </row>
        <row r="4">
          <cell r="G4">
            <v>0</v>
          </cell>
        </row>
        <row r="10">
          <cell r="G10">
            <v>0</v>
          </cell>
        </row>
        <row r="15">
          <cell r="D15">
            <v>0</v>
          </cell>
        </row>
        <row r="16">
          <cell r="G16">
            <v>0</v>
          </cell>
        </row>
        <row r="23">
          <cell r="G23">
            <v>0.5</v>
          </cell>
        </row>
        <row r="30">
          <cell r="G30">
            <v>0.33333333333333331</v>
          </cell>
        </row>
        <row r="37">
          <cell r="G37">
            <v>0</v>
          </cell>
        </row>
        <row r="43">
          <cell r="G43">
            <v>1</v>
          </cell>
        </row>
        <row r="47">
          <cell r="G47">
            <v>0.33333333333333331</v>
          </cell>
        </row>
        <row r="53">
          <cell r="G53">
            <v>0.4</v>
          </cell>
        </row>
        <row r="59">
          <cell r="G59">
            <v>0.5</v>
          </cell>
        </row>
        <row r="63">
          <cell r="G63">
            <v>0.45</v>
          </cell>
        </row>
        <row r="64">
          <cell r="G64">
            <v>0</v>
          </cell>
        </row>
        <row r="69">
          <cell r="G69">
            <v>0</v>
          </cell>
        </row>
        <row r="75">
          <cell r="G75">
            <v>0</v>
          </cell>
        </row>
        <row r="76">
          <cell r="G76">
            <v>0.75</v>
          </cell>
        </row>
        <row r="82">
          <cell r="G82">
            <v>0.5</v>
          </cell>
        </row>
        <row r="88">
          <cell r="G88">
            <v>0.75</v>
          </cell>
        </row>
        <row r="94">
          <cell r="G94">
            <v>0</v>
          </cell>
        </row>
        <row r="100">
          <cell r="G100">
            <v>1</v>
          </cell>
        </row>
        <row r="103">
          <cell r="G103">
            <v>1</v>
          </cell>
        </row>
        <row r="108">
          <cell r="G108">
            <v>0</v>
          </cell>
        </row>
        <row r="111">
          <cell r="G111">
            <v>0.5</v>
          </cell>
        </row>
        <row r="115">
          <cell r="G115">
            <v>1</v>
          </cell>
        </row>
        <row r="116">
          <cell r="G116">
            <v>1</v>
          </cell>
        </row>
        <row r="122">
          <cell r="G122">
            <v>0.5</v>
          </cell>
        </row>
        <row r="128">
          <cell r="G128">
            <v>0</v>
          </cell>
        </row>
        <row r="136">
          <cell r="G136">
            <v>1</v>
          </cell>
        </row>
        <row r="140">
          <cell r="G140">
            <v>1</v>
          </cell>
        </row>
        <row r="141">
          <cell r="G141">
            <v>1</v>
          </cell>
        </row>
        <row r="144">
          <cell r="G144">
            <v>0</v>
          </cell>
        </row>
        <row r="148">
          <cell r="G148">
            <v>0.4</v>
          </cell>
        </row>
        <row r="155">
          <cell r="G155">
            <v>1</v>
          </cell>
        </row>
        <row r="159">
          <cell r="G159">
            <v>0.70972222222222225</v>
          </cell>
        </row>
        <row r="160">
          <cell r="G160">
            <v>0.82874999999999999</v>
          </cell>
        </row>
        <row r="161">
          <cell r="G161">
            <v>0.56278499278499283</v>
          </cell>
        </row>
        <row r="162">
          <cell r="G162" t="e">
            <v>#REF!</v>
          </cell>
        </row>
        <row r="163">
          <cell r="G163">
            <v>0.54677777777777781</v>
          </cell>
        </row>
        <row r="164">
          <cell r="G164">
            <v>0.37724747474747478</v>
          </cell>
        </row>
        <row r="167">
          <cell r="G167">
            <v>0.44722222222222224</v>
          </cell>
        </row>
        <row r="168">
          <cell r="G168">
            <v>0.75</v>
          </cell>
        </row>
        <row r="169">
          <cell r="G169">
            <v>0.25</v>
          </cell>
        </row>
        <row r="170">
          <cell r="G170">
            <v>0.58333333333333337</v>
          </cell>
        </row>
        <row r="171">
          <cell r="G171">
            <v>0.25</v>
          </cell>
        </row>
        <row r="172">
          <cell r="G172">
            <v>1</v>
          </cell>
        </row>
      </sheetData>
      <sheetData sheetId="15">
        <row r="2">
          <cell r="D2">
            <v>0</v>
          </cell>
        </row>
        <row r="4">
          <cell r="D4">
            <v>0</v>
          </cell>
        </row>
        <row r="5">
          <cell r="D5">
            <v>0</v>
          </cell>
        </row>
        <row r="6">
          <cell r="D6">
            <v>1</v>
          </cell>
        </row>
        <row r="7">
          <cell r="D7">
            <v>1</v>
          </cell>
        </row>
        <row r="8">
          <cell r="G8">
            <v>0</v>
          </cell>
        </row>
        <row r="20">
          <cell r="D20">
            <v>0</v>
          </cell>
        </row>
        <row r="21">
          <cell r="G21">
            <v>1</v>
          </cell>
        </row>
        <row r="28">
          <cell r="G28">
            <v>0</v>
          </cell>
        </row>
        <row r="38">
          <cell r="G38">
            <v>1</v>
          </cell>
        </row>
        <row r="44">
          <cell r="G44">
            <v>0.45</v>
          </cell>
        </row>
        <row r="45">
          <cell r="G45">
            <v>0</v>
          </cell>
        </row>
        <row r="50">
          <cell r="G50">
            <v>1</v>
          </cell>
        </row>
        <row r="58">
          <cell r="G58">
            <v>0</v>
          </cell>
        </row>
        <row r="64">
          <cell r="G64">
            <v>0</v>
          </cell>
        </row>
        <row r="70">
          <cell r="G70">
            <v>0</v>
          </cell>
        </row>
        <row r="76">
          <cell r="G76">
            <v>1</v>
          </cell>
        </row>
        <row r="79">
          <cell r="G79">
            <v>1</v>
          </cell>
        </row>
        <row r="82">
          <cell r="G82">
            <v>0.5</v>
          </cell>
        </row>
        <row r="91">
          <cell r="G91">
            <v>0</v>
          </cell>
        </row>
        <row r="93">
          <cell r="G93">
            <v>0.5</v>
          </cell>
        </row>
        <row r="99">
          <cell r="G99">
            <v>0</v>
          </cell>
        </row>
        <row r="107">
          <cell r="G107">
            <v>1</v>
          </cell>
        </row>
        <row r="115">
          <cell r="G115">
            <v>0</v>
          </cell>
        </row>
        <row r="119">
          <cell r="G119">
            <v>1</v>
          </cell>
        </row>
        <row r="123">
          <cell r="G123">
            <v>1</v>
          </cell>
        </row>
        <row r="124">
          <cell r="G124" t="e">
            <v>#REF!</v>
          </cell>
        </row>
        <row r="126">
          <cell r="G126" t="b">
            <v>0</v>
          </cell>
        </row>
        <row r="127">
          <cell r="G127">
            <v>0.625</v>
          </cell>
        </row>
        <row r="128">
          <cell r="G128">
            <v>0.5</v>
          </cell>
        </row>
        <row r="129">
          <cell r="G129">
            <v>0.81666666666666676</v>
          </cell>
        </row>
        <row r="130">
          <cell r="G130">
            <v>0</v>
          </cell>
        </row>
      </sheetData>
      <sheetData sheetId="16">
        <row r="2">
          <cell r="D2">
            <v>0</v>
          </cell>
        </row>
        <row r="3">
          <cell r="D3">
            <v>1</v>
          </cell>
        </row>
        <row r="4">
          <cell r="D4">
            <v>0</v>
          </cell>
        </row>
        <row r="22">
          <cell r="D22">
            <v>0</v>
          </cell>
        </row>
        <row r="23">
          <cell r="G23">
            <v>1</v>
          </cell>
        </row>
        <row r="35">
          <cell r="D35">
            <v>0</v>
          </cell>
        </row>
        <row r="37">
          <cell r="G37">
            <v>0</v>
          </cell>
        </row>
        <row r="44">
          <cell r="G44">
            <v>1</v>
          </cell>
        </row>
        <row r="48">
          <cell r="G48">
            <v>0.75</v>
          </cell>
        </row>
        <row r="54">
          <cell r="G54">
            <v>0</v>
          </cell>
        </row>
        <row r="58">
          <cell r="G58">
            <v>0.45</v>
          </cell>
        </row>
        <row r="59">
          <cell r="G59">
            <v>1</v>
          </cell>
        </row>
        <row r="63">
          <cell r="D63">
            <v>0</v>
          </cell>
        </row>
        <row r="64">
          <cell r="G64">
            <v>0</v>
          </cell>
        </row>
        <row r="67">
          <cell r="G67">
            <v>0</v>
          </cell>
        </row>
        <row r="73">
          <cell r="G73">
            <v>0</v>
          </cell>
        </row>
        <row r="82">
          <cell r="G82">
            <v>1</v>
          </cell>
        </row>
        <row r="85">
          <cell r="G85">
            <v>0</v>
          </cell>
        </row>
        <row r="88">
          <cell r="G88">
            <v>1</v>
          </cell>
        </row>
        <row r="89">
          <cell r="G89">
            <v>1</v>
          </cell>
        </row>
        <row r="96">
          <cell r="D96">
            <v>1</v>
          </cell>
        </row>
        <row r="97">
          <cell r="G97">
            <v>0.75</v>
          </cell>
        </row>
        <row r="106">
          <cell r="G106">
            <v>0</v>
          </cell>
        </row>
        <row r="111">
          <cell r="D111">
            <v>1</v>
          </cell>
        </row>
        <row r="112">
          <cell r="D112" t="e">
            <v>#REF!</v>
          </cell>
        </row>
        <row r="114">
          <cell r="G114" t="b">
            <v>0</v>
          </cell>
        </row>
        <row r="115">
          <cell r="G115">
            <v>0.69000000000000006</v>
          </cell>
        </row>
        <row r="116">
          <cell r="G116">
            <v>0.91666666666666663</v>
          </cell>
        </row>
        <row r="117">
          <cell r="G117">
            <v>1</v>
          </cell>
        </row>
        <row r="118">
          <cell r="G118">
            <v>0.625</v>
          </cell>
        </row>
      </sheetData>
      <sheetData sheetId="17">
        <row r="2">
          <cell r="D2">
            <v>0</v>
          </cell>
        </row>
        <row r="3">
          <cell r="D3">
            <v>0</v>
          </cell>
        </row>
        <row r="4">
          <cell r="D4">
            <v>1</v>
          </cell>
        </row>
        <row r="5">
          <cell r="D5">
            <v>0</v>
          </cell>
        </row>
        <row r="6">
          <cell r="G6">
            <v>0</v>
          </cell>
        </row>
        <row r="13">
          <cell r="G13">
            <v>1</v>
          </cell>
        </row>
        <row r="20">
          <cell r="G20">
            <v>1</v>
          </cell>
        </row>
        <row r="27">
          <cell r="G27">
            <v>0</v>
          </cell>
        </row>
        <row r="33">
          <cell r="G33">
            <v>1</v>
          </cell>
        </row>
        <row r="37">
          <cell r="G37">
            <v>0.25</v>
          </cell>
        </row>
        <row r="43">
          <cell r="G43">
            <v>1</v>
          </cell>
        </row>
        <row r="48">
          <cell r="G48">
            <v>0.5</v>
          </cell>
        </row>
        <row r="49">
          <cell r="G49">
            <v>0</v>
          </cell>
        </row>
        <row r="54">
          <cell r="G54">
            <v>0</v>
          </cell>
        </row>
        <row r="60">
          <cell r="G60">
            <v>0.25</v>
          </cell>
        </row>
        <row r="70">
          <cell r="G70">
            <v>0</v>
          </cell>
        </row>
        <row r="74">
          <cell r="G74">
            <v>0.5</v>
          </cell>
        </row>
        <row r="80">
          <cell r="G80">
            <v>0.18181818181818182</v>
          </cell>
        </row>
        <row r="93">
          <cell r="G93">
            <v>0.66666666666666663</v>
          </cell>
        </row>
        <row r="98">
          <cell r="B98" t="str">
            <v>Upland Inclusions</v>
          </cell>
        </row>
        <row r="101">
          <cell r="G101">
            <v>0</v>
          </cell>
        </row>
        <row r="104">
          <cell r="G104">
            <v>0.5</v>
          </cell>
        </row>
        <row r="108">
          <cell r="G108">
            <v>1</v>
          </cell>
        </row>
        <row r="113">
          <cell r="G113">
            <v>1</v>
          </cell>
        </row>
        <row r="118">
          <cell r="G118">
            <v>1</v>
          </cell>
        </row>
        <row r="121">
          <cell r="G121">
            <v>0</v>
          </cell>
        </row>
        <row r="125">
          <cell r="G125">
            <v>0</v>
          </cell>
        </row>
        <row r="130">
          <cell r="G130">
            <v>0.33333333333333331</v>
          </cell>
        </row>
        <row r="135">
          <cell r="G135">
            <v>0</v>
          </cell>
        </row>
        <row r="141">
          <cell r="G141">
            <v>0</v>
          </cell>
        </row>
        <row r="146">
          <cell r="G146">
            <v>0.25</v>
          </cell>
        </row>
        <row r="152">
          <cell r="G152">
            <v>0.4</v>
          </cell>
        </row>
        <row r="158">
          <cell r="G158">
            <v>0</v>
          </cell>
        </row>
        <row r="166">
          <cell r="G166">
            <v>0</v>
          </cell>
        </row>
        <row r="167">
          <cell r="G167">
            <v>0.4</v>
          </cell>
        </row>
        <row r="180">
          <cell r="G180">
            <v>0</v>
          </cell>
        </row>
        <row r="188">
          <cell r="G188">
            <v>0</v>
          </cell>
        </row>
        <row r="194">
          <cell r="G194">
            <v>0.5</v>
          </cell>
        </row>
        <row r="200">
          <cell r="G200">
            <v>0.2</v>
          </cell>
        </row>
        <row r="207">
          <cell r="G207">
            <v>1</v>
          </cell>
        </row>
        <row r="214">
          <cell r="G214">
            <v>0</v>
          </cell>
        </row>
        <row r="220">
          <cell r="G220">
            <v>0</v>
          </cell>
        </row>
        <row r="224">
          <cell r="G224">
            <v>1</v>
          </cell>
        </row>
        <row r="228">
          <cell r="G228">
            <v>0</v>
          </cell>
        </row>
        <row r="232">
          <cell r="G232">
            <v>0</v>
          </cell>
        </row>
        <row r="237">
          <cell r="G237">
            <v>0.66666666666666663</v>
          </cell>
        </row>
        <row r="244">
          <cell r="G244">
            <v>1</v>
          </cell>
        </row>
        <row r="249">
          <cell r="G249" t="b">
            <v>0</v>
          </cell>
        </row>
        <row r="250">
          <cell r="G250">
            <v>0.50198412698412698</v>
          </cell>
        </row>
        <row r="251">
          <cell r="G251">
            <v>0.43308080808080812</v>
          </cell>
        </row>
        <row r="252">
          <cell r="G252">
            <v>0.26666666666666666</v>
          </cell>
        </row>
        <row r="253">
          <cell r="G253">
            <v>0.18</v>
          </cell>
        </row>
        <row r="254">
          <cell r="G254">
            <v>0.6</v>
          </cell>
        </row>
        <row r="255">
          <cell r="G255">
            <v>8.3333333333333329E-2</v>
          </cell>
        </row>
        <row r="256">
          <cell r="G256">
            <v>1</v>
          </cell>
        </row>
      </sheetData>
      <sheetData sheetId="18">
        <row r="2">
          <cell r="D2">
            <v>0</v>
          </cell>
        </row>
        <row r="3">
          <cell r="D3">
            <v>1</v>
          </cell>
        </row>
        <row r="4">
          <cell r="D4">
            <v>0</v>
          </cell>
        </row>
        <row r="6">
          <cell r="G6">
            <v>0</v>
          </cell>
        </row>
        <row r="12">
          <cell r="G12">
            <v>0</v>
          </cell>
        </row>
        <row r="18">
          <cell r="G18">
            <v>0</v>
          </cell>
        </row>
        <row r="23">
          <cell r="D23">
            <v>0</v>
          </cell>
        </row>
        <row r="24">
          <cell r="G24">
            <v>0.3</v>
          </cell>
        </row>
        <row r="30">
          <cell r="G30">
            <v>0.75</v>
          </cell>
        </row>
        <row r="37">
          <cell r="G37">
            <v>0</v>
          </cell>
        </row>
        <row r="44">
          <cell r="G44">
            <v>0.16666666666666666</v>
          </cell>
        </row>
        <row r="50">
          <cell r="G50">
            <v>0.5</v>
          </cell>
        </row>
        <row r="54">
          <cell r="G54">
            <v>0.45</v>
          </cell>
        </row>
        <row r="55">
          <cell r="G55">
            <v>0</v>
          </cell>
        </row>
        <row r="65">
          <cell r="G65">
            <v>1</v>
          </cell>
        </row>
        <row r="71">
          <cell r="D71">
            <v>1</v>
          </cell>
        </row>
        <row r="72">
          <cell r="G72">
            <v>1</v>
          </cell>
        </row>
        <row r="78">
          <cell r="G78">
            <v>0.75</v>
          </cell>
        </row>
        <row r="84">
          <cell r="G84">
            <v>0.3</v>
          </cell>
        </row>
        <row r="90">
          <cell r="G90">
            <v>0</v>
          </cell>
        </row>
        <row r="96">
          <cell r="G96">
            <v>1</v>
          </cell>
        </row>
        <row r="97">
          <cell r="D97">
            <v>0</v>
          </cell>
        </row>
        <row r="101">
          <cell r="G101">
            <v>1</v>
          </cell>
        </row>
        <row r="102">
          <cell r="G102">
            <v>0</v>
          </cell>
        </row>
        <row r="107">
          <cell r="G107">
            <v>0.33333333333333331</v>
          </cell>
        </row>
        <row r="112">
          <cell r="G112">
            <v>0</v>
          </cell>
        </row>
        <row r="118">
          <cell r="G118">
            <v>0</v>
          </cell>
        </row>
        <row r="123">
          <cell r="G123">
            <v>0.2</v>
          </cell>
        </row>
        <row r="130">
          <cell r="G130">
            <v>1</v>
          </cell>
        </row>
        <row r="137">
          <cell r="G137">
            <v>0.5</v>
          </cell>
        </row>
        <row r="141">
          <cell r="G141">
            <v>0</v>
          </cell>
        </row>
        <row r="145">
          <cell r="G145">
            <v>0.9</v>
          </cell>
        </row>
        <row r="152">
          <cell r="G152">
            <v>0</v>
          </cell>
        </row>
        <row r="159">
          <cell r="D159">
            <v>0</v>
          </cell>
        </row>
        <row r="164">
          <cell r="G164">
            <v>0</v>
          </cell>
        </row>
        <row r="170">
          <cell r="G170">
            <v>0</v>
          </cell>
        </row>
        <row r="174">
          <cell r="G174">
            <v>0.4</v>
          </cell>
        </row>
        <row r="181">
          <cell r="G181">
            <v>1</v>
          </cell>
        </row>
        <row r="186">
          <cell r="G186">
            <v>0.48333333333333334</v>
          </cell>
        </row>
        <row r="187">
          <cell r="G187">
            <v>0.42499999999999999</v>
          </cell>
        </row>
        <row r="188">
          <cell r="G188">
            <v>0.68333333333333324</v>
          </cell>
        </row>
        <row r="189">
          <cell r="G189">
            <v>0.5</v>
          </cell>
        </row>
        <row r="190">
          <cell r="G190">
            <v>0.3</v>
          </cell>
        </row>
        <row r="191">
          <cell r="G191">
            <v>0.51249999999999996</v>
          </cell>
        </row>
        <row r="192">
          <cell r="G192">
            <v>0.33333333333333331</v>
          </cell>
        </row>
      </sheetData>
      <sheetData sheetId="19">
        <row r="2">
          <cell r="D2">
            <v>0</v>
          </cell>
        </row>
        <row r="3">
          <cell r="D3">
            <v>0</v>
          </cell>
        </row>
        <row r="10">
          <cell r="G10">
            <v>0</v>
          </cell>
        </row>
        <row r="16">
          <cell r="G16">
            <v>0.8</v>
          </cell>
        </row>
        <row r="23">
          <cell r="G23">
            <v>1</v>
          </cell>
        </row>
        <row r="30">
          <cell r="G30">
            <v>0.25</v>
          </cell>
        </row>
        <row r="36">
          <cell r="G36">
            <v>0.33333333333333331</v>
          </cell>
        </row>
        <row r="42">
          <cell r="G42">
            <v>0.5</v>
          </cell>
        </row>
        <row r="49">
          <cell r="G49">
            <v>0.45</v>
          </cell>
        </row>
        <row r="50">
          <cell r="G50">
            <v>0</v>
          </cell>
        </row>
        <row r="56">
          <cell r="G56">
            <v>0</v>
          </cell>
        </row>
        <row r="69">
          <cell r="G69">
            <v>0</v>
          </cell>
        </row>
        <row r="73">
          <cell r="D73">
            <v>1</v>
          </cell>
        </row>
        <row r="74">
          <cell r="G74">
            <v>0.75</v>
          </cell>
        </row>
        <row r="93">
          <cell r="G93">
            <v>0.5</v>
          </cell>
        </row>
        <row r="99">
          <cell r="G99">
            <v>0.25</v>
          </cell>
        </row>
        <row r="105">
          <cell r="G105">
            <v>1</v>
          </cell>
        </row>
        <row r="108">
          <cell r="G108">
            <v>1</v>
          </cell>
        </row>
        <row r="109">
          <cell r="D109">
            <v>0</v>
          </cell>
        </row>
        <row r="113">
          <cell r="G113">
            <v>1</v>
          </cell>
        </row>
        <row r="118">
          <cell r="G118">
            <v>0</v>
          </cell>
        </row>
        <row r="123">
          <cell r="G123">
            <v>0.33333333333333331</v>
          </cell>
        </row>
        <row r="128">
          <cell r="G128">
            <v>0.5</v>
          </cell>
        </row>
        <row r="134">
          <cell r="G134">
            <v>0</v>
          </cell>
        </row>
        <row r="142">
          <cell r="G142">
            <v>0.5</v>
          </cell>
        </row>
        <row r="155">
          <cell r="G155">
            <v>1</v>
          </cell>
        </row>
        <row r="162">
          <cell r="G162">
            <v>0.5</v>
          </cell>
        </row>
        <row r="163">
          <cell r="D163">
            <v>0</v>
          </cell>
        </row>
        <row r="166">
          <cell r="G166">
            <v>0.9</v>
          </cell>
        </row>
        <row r="179">
          <cell r="G179">
            <v>0.4</v>
          </cell>
        </row>
        <row r="186">
          <cell r="G186">
            <v>1</v>
          </cell>
        </row>
        <row r="192">
          <cell r="G192">
            <v>0</v>
          </cell>
        </row>
        <row r="199">
          <cell r="G199">
            <v>0</v>
          </cell>
        </row>
        <row r="204">
          <cell r="G204">
            <v>0.4</v>
          </cell>
        </row>
        <row r="211">
          <cell r="G211">
            <v>1</v>
          </cell>
        </row>
        <row r="216">
          <cell r="G216" t="b">
            <v>0</v>
          </cell>
        </row>
        <row r="217">
          <cell r="G217" t="b">
            <v>0</v>
          </cell>
        </row>
        <row r="218">
          <cell r="G218">
            <v>0.5</v>
          </cell>
        </row>
        <row r="219">
          <cell r="G219">
            <v>0.65</v>
          </cell>
        </row>
        <row r="220">
          <cell r="G220">
            <v>0.39666666666666667</v>
          </cell>
        </row>
        <row r="221">
          <cell r="G221">
            <v>0.5625</v>
          </cell>
        </row>
        <row r="222">
          <cell r="G222">
            <v>0.4375</v>
          </cell>
        </row>
        <row r="223">
          <cell r="G223">
            <v>0.5</v>
          </cell>
        </row>
      </sheetData>
      <sheetData sheetId="20">
        <row r="2">
          <cell r="D2">
            <v>0</v>
          </cell>
        </row>
        <row r="3">
          <cell r="G3">
            <v>0</v>
          </cell>
        </row>
        <row r="4">
          <cell r="D4">
            <v>0</v>
          </cell>
        </row>
        <row r="16">
          <cell r="D16">
            <v>0</v>
          </cell>
        </row>
        <row r="22">
          <cell r="G22">
            <v>1</v>
          </cell>
        </row>
        <row r="25">
          <cell r="G25">
            <v>0</v>
          </cell>
        </row>
        <row r="31">
          <cell r="G31">
            <v>0</v>
          </cell>
        </row>
        <row r="37">
          <cell r="G37">
            <v>0</v>
          </cell>
        </row>
        <row r="41">
          <cell r="G41">
            <v>0.22727272727272727</v>
          </cell>
        </row>
        <row r="54">
          <cell r="G54">
            <v>1</v>
          </cell>
        </row>
        <row r="57">
          <cell r="G57">
            <v>1.6666666666666667</v>
          </cell>
        </row>
        <row r="62">
          <cell r="G62">
            <v>0</v>
          </cell>
        </row>
        <row r="66">
          <cell r="G66">
            <v>1</v>
          </cell>
        </row>
        <row r="69">
          <cell r="G69">
            <v>0</v>
          </cell>
        </row>
        <row r="72">
          <cell r="G72">
            <v>0.5</v>
          </cell>
        </row>
        <row r="77">
          <cell r="D77">
            <v>1</v>
          </cell>
        </row>
        <row r="78">
          <cell r="G78">
            <v>0</v>
          </cell>
        </row>
        <row r="79">
          <cell r="G79">
            <v>1</v>
          </cell>
        </row>
        <row r="84">
          <cell r="G84">
            <v>0</v>
          </cell>
        </row>
        <row r="89">
          <cell r="G89">
            <v>0.33333333333333331</v>
          </cell>
        </row>
        <row r="94">
          <cell r="G94">
            <v>0.4</v>
          </cell>
        </row>
        <row r="100">
          <cell r="G100">
            <v>0</v>
          </cell>
        </row>
        <row r="108">
          <cell r="G108">
            <v>0</v>
          </cell>
        </row>
        <row r="109">
          <cell r="G109">
            <v>0.4</v>
          </cell>
        </row>
        <row r="116">
          <cell r="G116">
            <v>0</v>
          </cell>
        </row>
        <row r="122">
          <cell r="G122">
            <v>0</v>
          </cell>
        </row>
        <row r="127">
          <cell r="G127">
            <v>0.25</v>
          </cell>
        </row>
        <row r="133">
          <cell r="G133">
            <v>0.25</v>
          </cell>
        </row>
        <row r="139">
          <cell r="G139">
            <v>0</v>
          </cell>
        </row>
        <row r="147">
          <cell r="G147">
            <v>0</v>
          </cell>
        </row>
        <row r="153">
          <cell r="G153">
            <v>0.5</v>
          </cell>
        </row>
        <row r="159">
          <cell r="G159">
            <v>0</v>
          </cell>
        </row>
        <row r="173">
          <cell r="G173">
            <v>0.83333333333333337</v>
          </cell>
        </row>
        <row r="180">
          <cell r="G180">
            <v>0</v>
          </cell>
        </row>
        <row r="199">
          <cell r="G199">
            <v>0</v>
          </cell>
        </row>
        <row r="204">
          <cell r="G204">
            <v>0.4</v>
          </cell>
        </row>
        <row r="211">
          <cell r="G211">
            <v>1</v>
          </cell>
        </row>
        <row r="216">
          <cell r="G216">
            <v>0.54181818181818175</v>
          </cell>
        </row>
        <row r="217">
          <cell r="G217">
            <v>0.19166666666666665</v>
          </cell>
        </row>
        <row r="218">
          <cell r="G218">
            <v>0.1643939393939394</v>
          </cell>
        </row>
        <row r="219">
          <cell r="G219">
            <v>0.61111111111111116</v>
          </cell>
        </row>
      </sheetData>
      <sheetData sheetId="21">
        <row r="3">
          <cell r="G3">
            <v>0</v>
          </cell>
        </row>
        <row r="9">
          <cell r="G9">
            <v>0.25</v>
          </cell>
        </row>
        <row r="18">
          <cell r="G18">
            <v>0</v>
          </cell>
        </row>
        <row r="22">
          <cell r="G22">
            <v>0</v>
          </cell>
        </row>
        <row r="31">
          <cell r="G31">
            <v>0</v>
          </cell>
        </row>
        <row r="36">
          <cell r="G36">
            <v>0</v>
          </cell>
        </row>
        <row r="42">
          <cell r="G42">
            <v>0.24090909090909091</v>
          </cell>
        </row>
        <row r="55">
          <cell r="G55">
            <v>0</v>
          </cell>
        </row>
        <row r="61">
          <cell r="G61">
            <v>0</v>
          </cell>
        </row>
        <row r="64">
          <cell r="G64">
            <v>0.33333333333333331</v>
          </cell>
        </row>
        <row r="69">
          <cell r="G69">
            <v>0</v>
          </cell>
        </row>
        <row r="72">
          <cell r="G72">
            <v>0</v>
          </cell>
        </row>
        <row r="76">
          <cell r="G76">
            <v>0</v>
          </cell>
        </row>
        <row r="77">
          <cell r="G77">
            <v>0.5</v>
          </cell>
        </row>
        <row r="83">
          <cell r="G83">
            <v>0</v>
          </cell>
        </row>
        <row r="89">
          <cell r="G89">
            <v>0.5</v>
          </cell>
        </row>
        <row r="95">
          <cell r="G95">
            <v>0.9</v>
          </cell>
        </row>
        <row r="102">
          <cell r="G102">
            <v>1</v>
          </cell>
        </row>
        <row r="105">
          <cell r="G105">
            <v>0</v>
          </cell>
        </row>
        <row r="118">
          <cell r="G118">
            <v>0</v>
          </cell>
        </row>
        <row r="122">
          <cell r="G122">
            <v>0</v>
          </cell>
        </row>
        <row r="123">
          <cell r="G123" t="e">
            <v>#REF!</v>
          </cell>
        </row>
      </sheetData>
      <sheetData sheetId="22">
        <row r="2">
          <cell r="D2">
            <v>0</v>
          </cell>
        </row>
        <row r="3">
          <cell r="G3">
            <v>0</v>
          </cell>
        </row>
        <row r="9">
          <cell r="G9">
            <v>0</v>
          </cell>
        </row>
        <row r="15">
          <cell r="G15">
            <v>0</v>
          </cell>
        </row>
        <row r="21">
          <cell r="G21">
            <v>0</v>
          </cell>
        </row>
        <row r="28">
          <cell r="G28">
            <v>0</v>
          </cell>
        </row>
        <row r="33">
          <cell r="G33">
            <v>1</v>
          </cell>
        </row>
        <row r="37">
          <cell r="G37">
            <v>0.25</v>
          </cell>
        </row>
        <row r="43">
          <cell r="G43">
            <v>0</v>
          </cell>
        </row>
        <row r="46">
          <cell r="G46">
            <v>0</v>
          </cell>
        </row>
        <row r="50">
          <cell r="G50">
            <v>0</v>
          </cell>
        </row>
        <row r="60">
          <cell r="G60">
            <v>1</v>
          </cell>
        </row>
        <row r="69">
          <cell r="G69">
            <v>0</v>
          </cell>
        </row>
        <row r="86">
          <cell r="G86">
            <v>0</v>
          </cell>
        </row>
        <row r="92">
          <cell r="G92">
            <v>1</v>
          </cell>
        </row>
        <row r="95">
          <cell r="G95">
            <v>0</v>
          </cell>
        </row>
        <row r="100">
          <cell r="G100">
            <v>0.5</v>
          </cell>
        </row>
        <row r="105">
          <cell r="G105">
            <v>1</v>
          </cell>
        </row>
        <row r="109">
          <cell r="G109">
            <v>1</v>
          </cell>
        </row>
        <row r="114">
          <cell r="G114">
            <v>0.75</v>
          </cell>
        </row>
        <row r="120">
          <cell r="G120">
            <v>0</v>
          </cell>
        </row>
        <row r="125">
          <cell r="G125">
            <v>0.66666666666666663</v>
          </cell>
        </row>
        <row r="130">
          <cell r="G130">
            <v>1</v>
          </cell>
        </row>
        <row r="135">
          <cell r="G135">
            <v>0.5</v>
          </cell>
        </row>
        <row r="141">
          <cell r="G141">
            <v>0</v>
          </cell>
        </row>
        <row r="163">
          <cell r="G163">
            <v>0.4</v>
          </cell>
        </row>
        <row r="170">
          <cell r="D170">
            <v>0</v>
          </cell>
        </row>
        <row r="171">
          <cell r="D171">
            <v>0</v>
          </cell>
        </row>
        <row r="174">
          <cell r="G174">
            <v>0</v>
          </cell>
        </row>
        <row r="183">
          <cell r="G183" t="e">
            <v>#REF!</v>
          </cell>
        </row>
        <row r="188">
          <cell r="G188">
            <v>0.4</v>
          </cell>
        </row>
        <row r="195">
          <cell r="G195">
            <v>1</v>
          </cell>
        </row>
        <row r="199">
          <cell r="G199">
            <v>0.48498737373737372</v>
          </cell>
        </row>
        <row r="200">
          <cell r="G200" t="e">
            <v>#REF!</v>
          </cell>
        </row>
        <row r="201">
          <cell r="G201">
            <v>0.37724747474747478</v>
          </cell>
        </row>
        <row r="203">
          <cell r="G203">
            <v>0.33333333333333331</v>
          </cell>
        </row>
        <row r="204">
          <cell r="G204">
            <v>0.42142857142857143</v>
          </cell>
        </row>
        <row r="205">
          <cell r="G205">
            <v>0.67222222222222217</v>
          </cell>
        </row>
      </sheetData>
      <sheetData sheetId="23">
        <row r="2">
          <cell r="G2">
            <v>0.2</v>
          </cell>
        </row>
        <row r="3">
          <cell r="G3">
            <v>0</v>
          </cell>
        </row>
        <row r="4">
          <cell r="G4">
            <v>0</v>
          </cell>
        </row>
        <row r="5">
          <cell r="G5">
            <v>0</v>
          </cell>
        </row>
        <row r="6">
          <cell r="G6">
            <v>0.6</v>
          </cell>
        </row>
        <row r="7">
          <cell r="G7">
            <v>0</v>
          </cell>
        </row>
        <row r="8">
          <cell r="G8">
            <v>0.2</v>
          </cell>
        </row>
        <row r="9">
          <cell r="G9">
            <v>0</v>
          </cell>
        </row>
        <row r="10">
          <cell r="G10">
            <v>0</v>
          </cell>
        </row>
        <row r="15">
          <cell r="G15">
            <v>0</v>
          </cell>
        </row>
        <row r="19">
          <cell r="G19">
            <v>0.25</v>
          </cell>
        </row>
        <row r="25">
          <cell r="G25">
            <v>0</v>
          </cell>
        </row>
        <row r="30">
          <cell r="G30">
            <v>0.66666666666666663</v>
          </cell>
        </row>
        <row r="35">
          <cell r="G35">
            <v>1</v>
          </cell>
        </row>
        <row r="40">
          <cell r="G40">
            <v>0.5</v>
          </cell>
        </row>
        <row r="46">
          <cell r="G46">
            <v>1</v>
          </cell>
        </row>
        <row r="54">
          <cell r="G54">
            <v>0.6</v>
          </cell>
        </row>
        <row r="61">
          <cell r="G61">
            <v>1</v>
          </cell>
        </row>
        <row r="62">
          <cell r="G62">
            <v>0</v>
          </cell>
        </row>
      </sheetData>
      <sheetData sheetId="24">
        <row r="3">
          <cell r="D3">
            <v>0</v>
          </cell>
        </row>
        <row r="4">
          <cell r="D4">
            <v>0</v>
          </cell>
        </row>
        <row r="5">
          <cell r="G5">
            <v>1</v>
          </cell>
        </row>
        <row r="12">
          <cell r="G12">
            <v>0.25</v>
          </cell>
        </row>
        <row r="18">
          <cell r="G18">
            <v>0.25</v>
          </cell>
        </row>
        <row r="29">
          <cell r="G29">
            <v>0</v>
          </cell>
        </row>
        <row r="33">
          <cell r="D33">
            <v>0</v>
          </cell>
        </row>
        <row r="34">
          <cell r="G34">
            <v>1</v>
          </cell>
        </row>
        <row r="37">
          <cell r="G37">
            <v>0</v>
          </cell>
        </row>
        <row r="40">
          <cell r="G40">
            <v>0</v>
          </cell>
        </row>
        <row r="48">
          <cell r="G48">
            <v>0</v>
          </cell>
        </row>
        <row r="52">
          <cell r="G52">
            <v>0</v>
          </cell>
        </row>
        <row r="56">
          <cell r="G56">
            <v>0</v>
          </cell>
        </row>
        <row r="62">
          <cell r="G62">
            <v>1</v>
          </cell>
        </row>
        <row r="68">
          <cell r="G68">
            <v>0</v>
          </cell>
        </row>
        <row r="71">
          <cell r="G71">
            <v>0</v>
          </cell>
        </row>
        <row r="80">
          <cell r="G80">
            <v>0</v>
          </cell>
        </row>
        <row r="86">
          <cell r="G86">
            <v>0</v>
          </cell>
        </row>
        <row r="89">
          <cell r="G89">
            <v>0</v>
          </cell>
        </row>
        <row r="105">
          <cell r="G105">
            <v>0</v>
          </cell>
        </row>
        <row r="110">
          <cell r="G110">
            <v>0</v>
          </cell>
        </row>
        <row r="115">
          <cell r="G115">
            <v>0</v>
          </cell>
        </row>
        <row r="116">
          <cell r="G116">
            <v>0</v>
          </cell>
        </row>
        <row r="122">
          <cell r="G122">
            <v>0</v>
          </cell>
        </row>
        <row r="127">
          <cell r="G127">
            <v>1</v>
          </cell>
        </row>
        <row r="133">
          <cell r="G133">
            <v>0.5</v>
          </cell>
        </row>
        <row r="146">
          <cell r="G146">
            <v>0</v>
          </cell>
        </row>
        <row r="153">
          <cell r="G153">
            <v>0.5</v>
          </cell>
        </row>
        <row r="157">
          <cell r="G157">
            <v>0</v>
          </cell>
        </row>
        <row r="163">
          <cell r="G163">
            <v>0.9</v>
          </cell>
        </row>
        <row r="170">
          <cell r="G170">
            <v>0</v>
          </cell>
        </row>
        <row r="174">
          <cell r="G174">
            <v>0</v>
          </cell>
        </row>
        <row r="179">
          <cell r="G179">
            <v>0.6</v>
          </cell>
        </row>
        <row r="186">
          <cell r="G186" t="b">
            <v>0</v>
          </cell>
        </row>
        <row r="187">
          <cell r="G187">
            <v>0.25</v>
          </cell>
        </row>
        <row r="188">
          <cell r="G188">
            <v>0.33333333333333331</v>
          </cell>
        </row>
        <row r="189">
          <cell r="G189">
            <v>0.55999999999999994</v>
          </cell>
        </row>
      </sheetData>
      <sheetData sheetId="25">
        <row r="3">
          <cell r="G3">
            <v>0</v>
          </cell>
        </row>
        <row r="13">
          <cell r="G13">
            <v>0.6</v>
          </cell>
        </row>
        <row r="20">
          <cell r="G20">
            <v>1</v>
          </cell>
        </row>
        <row r="23">
          <cell r="G23">
            <v>0</v>
          </cell>
        </row>
        <row r="27">
          <cell r="G27">
            <v>0</v>
          </cell>
        </row>
        <row r="37">
          <cell r="G37">
            <v>1</v>
          </cell>
        </row>
        <row r="46">
          <cell r="G46">
            <v>0</v>
          </cell>
        </row>
        <row r="49">
          <cell r="G49">
            <v>1</v>
          </cell>
        </row>
        <row r="55">
          <cell r="G55">
            <v>0</v>
          </cell>
        </row>
        <row r="65">
          <cell r="G65">
            <v>0</v>
          </cell>
        </row>
        <row r="76">
          <cell r="G76" t="e">
            <v>#REF!</v>
          </cell>
        </row>
      </sheetData>
      <sheetData sheetId="26">
        <row r="2">
          <cell r="G2">
            <v>1</v>
          </cell>
        </row>
        <row r="6">
          <cell r="G6">
            <v>-1</v>
          </cell>
        </row>
        <row r="9">
          <cell r="G9">
            <v>1</v>
          </cell>
        </row>
        <row r="16">
          <cell r="G16">
            <v>0.66666666666666663</v>
          </cell>
        </row>
        <row r="20">
          <cell r="G20">
            <v>0</v>
          </cell>
        </row>
        <row r="22">
          <cell r="G22">
            <v>0</v>
          </cell>
        </row>
        <row r="24">
          <cell r="G24">
            <v>0</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Pg"/>
      <sheetName val="OF"/>
      <sheetName val="F"/>
      <sheetName val="S"/>
      <sheetName val="ShedData"/>
      <sheetName val="Scores"/>
      <sheetName val="WS"/>
      <sheetName val="SFS"/>
      <sheetName val="WC"/>
      <sheetName val="WW"/>
      <sheetName val="SR"/>
      <sheetName val="PR"/>
      <sheetName val="NR"/>
      <sheetName val="CS"/>
      <sheetName val="OE"/>
      <sheetName val="FA"/>
      <sheetName val="FR"/>
      <sheetName val="INV"/>
      <sheetName val="AM"/>
      <sheetName val="WBF"/>
      <sheetName val="WBN"/>
      <sheetName val="SBM"/>
      <sheetName val="POL"/>
      <sheetName val="PH"/>
      <sheetName val="PU"/>
      <sheetName val="SubSis"/>
      <sheetName val="EC"/>
      <sheetName val="Sen"/>
      <sheetName val="STR"/>
      <sheetName val="PlantList"/>
      <sheetName val="WildlifeList"/>
      <sheetName val="LitCitedAll"/>
    </sheetNames>
    <sheetDataSet>
      <sheetData sheetId="0" refreshError="1"/>
      <sheetData sheetId="1">
        <row r="175">
          <cell r="D175">
            <v>0</v>
          </cell>
        </row>
      </sheetData>
      <sheetData sheetId="2">
        <row r="7">
          <cell r="D7">
            <v>0</v>
          </cell>
        </row>
      </sheetData>
      <sheetData sheetId="3"/>
      <sheetData sheetId="4" refreshError="1"/>
      <sheetData sheetId="5" refreshError="1"/>
      <sheetData sheetId="6">
        <row r="3">
          <cell r="G3">
            <v>0</v>
          </cell>
        </row>
        <row r="9">
          <cell r="G9">
            <v>0</v>
          </cell>
        </row>
      </sheetData>
      <sheetData sheetId="7">
        <row r="3">
          <cell r="G3">
            <v>0</v>
          </cell>
        </row>
      </sheetData>
      <sheetData sheetId="8">
        <row r="3">
          <cell r="G3">
            <v>0</v>
          </cell>
        </row>
        <row r="20">
          <cell r="G20">
            <v>0</v>
          </cell>
        </row>
      </sheetData>
      <sheetData sheetId="9">
        <row r="10">
          <cell r="G10">
            <v>0</v>
          </cell>
        </row>
      </sheetData>
      <sheetData sheetId="10">
        <row r="3">
          <cell r="G3">
            <v>0</v>
          </cell>
        </row>
        <row r="9">
          <cell r="G9">
            <v>0</v>
          </cell>
        </row>
      </sheetData>
      <sheetData sheetId="11">
        <row r="3">
          <cell r="G3">
            <v>0</v>
          </cell>
        </row>
        <row r="9">
          <cell r="G9">
            <v>0</v>
          </cell>
        </row>
      </sheetData>
      <sheetData sheetId="12">
        <row r="3">
          <cell r="G3">
            <v>0</v>
          </cell>
        </row>
      </sheetData>
      <sheetData sheetId="13">
        <row r="9">
          <cell r="G9">
            <v>0</v>
          </cell>
        </row>
      </sheetData>
      <sheetData sheetId="14">
        <row r="3">
          <cell r="G3">
            <v>0</v>
          </cell>
        </row>
      </sheetData>
      <sheetData sheetId="15">
        <row r="3">
          <cell r="G3">
            <v>0</v>
          </cell>
        </row>
      </sheetData>
      <sheetData sheetId="16">
        <row r="3">
          <cell r="G3">
            <v>0</v>
          </cell>
        </row>
      </sheetData>
      <sheetData sheetId="17">
        <row r="3">
          <cell r="G3">
            <v>0</v>
          </cell>
        </row>
      </sheetData>
      <sheetData sheetId="18">
        <row r="3">
          <cell r="G3">
            <v>1</v>
          </cell>
        </row>
        <row r="62">
          <cell r="G62">
            <v>0</v>
          </cell>
        </row>
        <row r="142">
          <cell r="G142">
            <v>1</v>
          </cell>
        </row>
        <row r="204">
          <cell r="G204">
            <v>0</v>
          </cell>
        </row>
      </sheetData>
      <sheetData sheetId="19">
        <row r="3">
          <cell r="G3">
            <v>0</v>
          </cell>
        </row>
        <row r="118">
          <cell r="G118">
            <v>1</v>
          </cell>
        </row>
        <row r="158">
          <cell r="G158">
            <v>0</v>
          </cell>
        </row>
      </sheetData>
      <sheetData sheetId="20">
        <row r="3">
          <cell r="G3">
            <v>0</v>
          </cell>
        </row>
        <row r="190">
          <cell r="G190">
            <v>0</v>
          </cell>
        </row>
      </sheetData>
      <sheetData sheetId="21">
        <row r="3">
          <cell r="G3">
            <v>0</v>
          </cell>
        </row>
      </sheetData>
      <sheetData sheetId="22">
        <row r="3">
          <cell r="G3">
            <v>0</v>
          </cell>
        </row>
      </sheetData>
      <sheetData sheetId="23">
        <row r="3">
          <cell r="G3">
            <v>0</v>
          </cell>
        </row>
      </sheetData>
      <sheetData sheetId="24">
        <row r="3">
          <cell r="G3">
            <v>0</v>
          </cell>
        </row>
      </sheetData>
      <sheetData sheetId="25">
        <row r="3">
          <cell r="G3">
            <v>0</v>
          </cell>
        </row>
      </sheetData>
      <sheetData sheetId="26">
        <row r="4">
          <cell r="G4">
            <v>0</v>
          </cell>
        </row>
      </sheetData>
      <sheetData sheetId="27">
        <row r="3">
          <cell r="G3">
            <v>0</v>
          </cell>
        </row>
      </sheetData>
      <sheetData sheetId="28">
        <row r="3">
          <cell r="G3">
            <v>0</v>
          </cell>
        </row>
      </sheetData>
      <sheetData sheetId="29" refreshError="1"/>
      <sheetData sheetId="30" refreshError="1"/>
      <sheetData sheetId="3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F"/>
      <sheetName val="FieldF"/>
      <sheetName val="FieldS"/>
      <sheetName val="FinalScores"/>
      <sheetName val="AllSites"/>
      <sheetName val="WS"/>
      <sheetName val="SR"/>
      <sheetName val="PR"/>
      <sheetName val="NR"/>
      <sheetName val="T"/>
      <sheetName val="CS"/>
      <sheetName val="OE"/>
      <sheetName val="INV"/>
      <sheetName val="FA"/>
      <sheetName val="FR"/>
      <sheetName val="AM"/>
      <sheetName val="WBF"/>
      <sheetName val="WBN"/>
      <sheetName val="SBM"/>
      <sheetName val="POL"/>
      <sheetName val="PD"/>
      <sheetName val="STR"/>
      <sheetName val="Sen"/>
      <sheetName val="CQ"/>
      <sheetName val="PU"/>
      <sheetName val="PS"/>
      <sheetName val="Matr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06">
          <cell r="G206">
            <v>1</v>
          </cell>
        </row>
      </sheetData>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Narrow">
      <a:majorFont>
        <a:latin typeface="Arial Narrow"/>
        <a:ea typeface=""/>
        <a:cs typeface=""/>
      </a:majorFont>
      <a:minorFont>
        <a:latin typeface="Arial Narrow"/>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45.bin"/><Relationship Id="rId1" Type="http://schemas.openxmlformats.org/officeDocument/2006/relationships/printerSettings" Target="../printerSettings/printerSettings44.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49.bin"/><Relationship Id="rId1" Type="http://schemas.openxmlformats.org/officeDocument/2006/relationships/printerSettings" Target="../printerSettings/printerSettings4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78"/>
  <sheetViews>
    <sheetView workbookViewId="0">
      <selection activeCell="J54" sqref="J54"/>
    </sheetView>
  </sheetViews>
  <sheetFormatPr defaultRowHeight="12.75" x14ac:dyDescent="0.2"/>
  <cols>
    <col min="1" max="1" width="70.83203125" customWidth="1"/>
    <col min="2" max="2" width="29.1640625" customWidth="1"/>
  </cols>
  <sheetData>
    <row r="1" spans="1:2" ht="30" customHeight="1" thickBot="1" x14ac:dyDescent="0.3">
      <c r="A1" s="1050" t="s">
        <v>2460</v>
      </c>
      <c r="B1" s="1051" t="s">
        <v>2929</v>
      </c>
    </row>
    <row r="2" spans="1:2" ht="30" customHeight="1" x14ac:dyDescent="0.2">
      <c r="A2" s="1052" t="s">
        <v>2256</v>
      </c>
      <c r="B2" s="1536"/>
    </row>
    <row r="3" spans="1:2" ht="30" customHeight="1" x14ac:dyDescent="0.2">
      <c r="A3" s="1053" t="s">
        <v>2257</v>
      </c>
      <c r="B3" s="1537"/>
    </row>
    <row r="4" spans="1:2" ht="30" customHeight="1" x14ac:dyDescent="0.2">
      <c r="A4" s="1053" t="s">
        <v>2258</v>
      </c>
      <c r="B4" s="1537"/>
    </row>
    <row r="5" spans="1:2" ht="30" customHeight="1" x14ac:dyDescent="0.2">
      <c r="A5" s="1053" t="s">
        <v>2259</v>
      </c>
      <c r="B5" s="1537"/>
    </row>
    <row r="6" spans="1:2" ht="30" customHeight="1" x14ac:dyDescent="0.2">
      <c r="A6" s="1053" t="s">
        <v>2260</v>
      </c>
      <c r="B6" s="1537"/>
    </row>
    <row r="7" spans="1:2" ht="30" customHeight="1" x14ac:dyDescent="0.2">
      <c r="A7" s="1053" t="s">
        <v>2261</v>
      </c>
      <c r="B7" s="1537"/>
    </row>
    <row r="8" spans="1:2" ht="30" customHeight="1" x14ac:dyDescent="0.2">
      <c r="A8" s="1053" t="s">
        <v>2302</v>
      </c>
      <c r="B8" s="1537"/>
    </row>
    <row r="9" spans="1:2" ht="30" customHeight="1" x14ac:dyDescent="0.2">
      <c r="A9" s="1053" t="s">
        <v>2941</v>
      </c>
      <c r="B9" s="1537"/>
    </row>
    <row r="10" spans="1:2" ht="30" customHeight="1" x14ac:dyDescent="0.2">
      <c r="A10" s="1053" t="s">
        <v>2262</v>
      </c>
      <c r="B10" s="1537"/>
    </row>
    <row r="11" spans="1:2" ht="30" customHeight="1" x14ac:dyDescent="0.2">
      <c r="A11" s="1053" t="s">
        <v>2263</v>
      </c>
      <c r="B11" s="1537"/>
    </row>
    <row r="12" spans="1:2" ht="30" customHeight="1" x14ac:dyDescent="0.2">
      <c r="A12" s="1053" t="s">
        <v>2264</v>
      </c>
      <c r="B12" s="1537"/>
    </row>
    <row r="13" spans="1:2" ht="30" customHeight="1" x14ac:dyDescent="0.2">
      <c r="A13" s="1053" t="s">
        <v>2301</v>
      </c>
      <c r="B13" s="1537"/>
    </row>
    <row r="14" spans="1:2" ht="30" customHeight="1" x14ac:dyDescent="0.2">
      <c r="A14" s="1053" t="s">
        <v>2345</v>
      </c>
      <c r="B14" s="1537"/>
    </row>
    <row r="15" spans="1:2" ht="30" customHeight="1" x14ac:dyDescent="0.2">
      <c r="A15" s="1053" t="s">
        <v>2265</v>
      </c>
      <c r="B15" s="1537"/>
    </row>
    <row r="16" spans="1:2" ht="30" customHeight="1" x14ac:dyDescent="0.2">
      <c r="A16" s="1053" t="s">
        <v>2266</v>
      </c>
      <c r="B16" s="1538"/>
    </row>
    <row r="17" spans="1:2" ht="72" customHeight="1" thickBot="1" x14ac:dyDescent="0.25">
      <c r="A17" s="1054" t="s">
        <v>2267</v>
      </c>
      <c r="B17" s="1539"/>
    </row>
    <row r="18" spans="1:2" s="1056" customFormat="1" x14ac:dyDescent="0.2"/>
    <row r="19" spans="1:2" s="1056" customFormat="1" x14ac:dyDescent="0.2"/>
    <row r="20" spans="1:2" s="1056" customFormat="1" x14ac:dyDescent="0.2"/>
    <row r="21" spans="1:2" s="1056" customFormat="1" x14ac:dyDescent="0.2"/>
    <row r="22" spans="1:2" s="1056" customFormat="1" x14ac:dyDescent="0.2"/>
    <row r="23" spans="1:2" s="1056" customFormat="1" x14ac:dyDescent="0.2"/>
    <row r="24" spans="1:2" s="1056" customFormat="1" x14ac:dyDescent="0.2"/>
    <row r="25" spans="1:2" s="1056" customFormat="1" x14ac:dyDescent="0.2"/>
    <row r="26" spans="1:2" s="1056" customFormat="1" x14ac:dyDescent="0.2"/>
    <row r="27" spans="1:2" s="1056" customFormat="1" x14ac:dyDescent="0.2"/>
    <row r="28" spans="1:2" s="1056" customFormat="1" x14ac:dyDescent="0.2"/>
    <row r="29" spans="1:2" s="1056" customFormat="1" x14ac:dyDescent="0.2"/>
    <row r="30" spans="1:2" s="1056" customFormat="1" x14ac:dyDescent="0.2"/>
    <row r="31" spans="1:2" s="1056" customFormat="1" x14ac:dyDescent="0.2"/>
    <row r="32" spans="1:2" s="1056" customFormat="1" x14ac:dyDescent="0.2"/>
    <row r="33" s="1056" customFormat="1" x14ac:dyDescent="0.2"/>
    <row r="34" s="1056" customFormat="1" x14ac:dyDescent="0.2"/>
    <row r="35" s="1056" customFormat="1" x14ac:dyDescent="0.2"/>
    <row r="36" s="1056" customFormat="1" x14ac:dyDescent="0.2"/>
    <row r="37" s="1056" customFormat="1" x14ac:dyDescent="0.2"/>
    <row r="38" s="1056" customFormat="1" x14ac:dyDescent="0.2"/>
    <row r="39" s="1056" customFormat="1" x14ac:dyDescent="0.2"/>
    <row r="40" s="1056" customFormat="1" x14ac:dyDescent="0.2"/>
    <row r="41" s="1056" customFormat="1" x14ac:dyDescent="0.2"/>
    <row r="42" s="1056" customFormat="1" x14ac:dyDescent="0.2"/>
    <row r="43" s="1056" customFormat="1" x14ac:dyDescent="0.2"/>
    <row r="44" s="1056" customFormat="1" x14ac:dyDescent="0.2"/>
    <row r="45" s="1056" customFormat="1" x14ac:dyDescent="0.2"/>
    <row r="46" s="1056" customFormat="1" x14ac:dyDescent="0.2"/>
    <row r="47" s="1056" customFormat="1" x14ac:dyDescent="0.2"/>
    <row r="48" s="1056" customFormat="1" x14ac:dyDescent="0.2"/>
    <row r="49" s="1056" customFormat="1" x14ac:dyDescent="0.2"/>
    <row r="50" s="1056" customFormat="1" x14ac:dyDescent="0.2"/>
    <row r="51" s="1056" customFormat="1" x14ac:dyDescent="0.2"/>
    <row r="52" s="1056" customFormat="1" x14ac:dyDescent="0.2"/>
    <row r="53" s="1056" customFormat="1" x14ac:dyDescent="0.2"/>
    <row r="54" s="1056" customFormat="1" x14ac:dyDescent="0.2"/>
    <row r="55" s="1056" customFormat="1" x14ac:dyDescent="0.2"/>
    <row r="56" s="1056" customFormat="1" x14ac:dyDescent="0.2"/>
    <row r="57" s="1056" customFormat="1" x14ac:dyDescent="0.2"/>
    <row r="58" s="1056" customFormat="1" x14ac:dyDescent="0.2"/>
    <row r="59" s="1056" customFormat="1" x14ac:dyDescent="0.2"/>
    <row r="60" s="1056" customFormat="1" x14ac:dyDescent="0.2"/>
    <row r="61" s="1056" customFormat="1" x14ac:dyDescent="0.2"/>
    <row r="62" s="1056" customFormat="1" x14ac:dyDescent="0.2"/>
    <row r="63" s="1056" customFormat="1" x14ac:dyDescent="0.2"/>
    <row r="64" s="1056" customFormat="1" x14ac:dyDescent="0.2"/>
    <row r="65" s="1056" customFormat="1" x14ac:dyDescent="0.2"/>
    <row r="66" s="1056" customFormat="1" x14ac:dyDescent="0.2"/>
    <row r="67" s="1056" customFormat="1" x14ac:dyDescent="0.2"/>
    <row r="68" s="1056" customFormat="1" x14ac:dyDescent="0.2"/>
    <row r="69" s="1056" customFormat="1" x14ac:dyDescent="0.2"/>
    <row r="70" s="1056" customFormat="1" x14ac:dyDescent="0.2"/>
    <row r="71" s="1056" customFormat="1" x14ac:dyDescent="0.2"/>
    <row r="72" s="1056" customFormat="1" x14ac:dyDescent="0.2"/>
    <row r="73" s="1056" customFormat="1" x14ac:dyDescent="0.2"/>
    <row r="74" s="1056" customFormat="1" x14ac:dyDescent="0.2"/>
    <row r="75" s="1056" customFormat="1" x14ac:dyDescent="0.2"/>
    <row r="76" s="1056" customFormat="1" x14ac:dyDescent="0.2"/>
    <row r="77" s="1056" customFormat="1" x14ac:dyDescent="0.2"/>
    <row r="78" s="1056" customFormat="1" x14ac:dyDescent="0.2"/>
  </sheetData>
  <sheetProtection algorithmName="SHA-512" hashValue="wnYCsGX+7v8ebuAIlY1Mv/DZqMWpCXyM6iPNd40QHfAih3/XM8GOaQpp4Zym95BDJddvuiNOJYTJu6mehdicIw==" saltValue="gTFH4VociT/m/MQ8h/kPqw==" spinCount="100000" sheet="1" formatCells="0" formatColumns="0" formatRows="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K199"/>
  <sheetViews>
    <sheetView zoomScaleNormal="100" workbookViewId="0">
      <selection sqref="A1:B1"/>
    </sheetView>
  </sheetViews>
  <sheetFormatPr defaultColWidth="9.33203125" defaultRowHeight="16.5" x14ac:dyDescent="0.2"/>
  <cols>
    <col min="1" max="1" width="5.83203125" style="29" customWidth="1"/>
    <col min="2" max="2" width="18.83203125" style="30" customWidth="1"/>
    <col min="3" max="3" width="75.83203125" style="29" customWidth="1"/>
    <col min="4" max="5" width="7.83203125" style="369" customWidth="1"/>
    <col min="6" max="6" width="9" style="369" customWidth="1"/>
    <col min="7" max="7" width="9.6640625" style="250" customWidth="1"/>
    <col min="8" max="8" width="64.83203125" style="2" customWidth="1"/>
    <col min="9" max="9" width="12.5" style="2" customWidth="1"/>
    <col min="10" max="10" width="9.33203125" style="29"/>
    <col min="11" max="11" width="9.33203125" style="56"/>
    <col min="12" max="16384" width="9.33203125" style="29"/>
  </cols>
  <sheetData>
    <row r="1" spans="1:9" s="1412" customFormat="1" ht="77.25" customHeight="1" thickBot="1" x14ac:dyDescent="0.25">
      <c r="A1" s="1927" t="s">
        <v>1061</v>
      </c>
      <c r="B1" s="1928"/>
      <c r="C1" s="1407" t="s">
        <v>1062</v>
      </c>
      <c r="D1" s="1408" t="s">
        <v>1063</v>
      </c>
      <c r="E1" s="1929"/>
      <c r="F1" s="1930"/>
      <c r="G1" s="1930"/>
      <c r="H1" s="1930"/>
      <c r="I1" s="1930"/>
    </row>
    <row r="2" spans="1:9" s="56" customFormat="1" ht="36" customHeight="1" thickBot="1" x14ac:dyDescent="0.25">
      <c r="A2" s="833" t="s">
        <v>88</v>
      </c>
      <c r="B2" s="833" t="s">
        <v>1167</v>
      </c>
      <c r="C2" s="862" t="s">
        <v>1164</v>
      </c>
      <c r="D2" s="870" t="s">
        <v>45</v>
      </c>
      <c r="E2" s="845" t="s">
        <v>1188</v>
      </c>
      <c r="F2" s="846" t="s">
        <v>1189</v>
      </c>
      <c r="G2" s="847" t="s">
        <v>2558</v>
      </c>
      <c r="H2" s="848" t="s">
        <v>1117</v>
      </c>
      <c r="I2" s="895" t="s">
        <v>2427</v>
      </c>
    </row>
    <row r="3" spans="1:9" ht="92.25" customHeight="1" thickBot="1" x14ac:dyDescent="0.25">
      <c r="A3" s="1923" t="str">
        <f>OF!A109</f>
        <v>OF22</v>
      </c>
      <c r="B3" s="1816" t="str">
        <f>OF!B109</f>
        <v>Wetland as a % of Its Contributing Area (Catchment)</v>
      </c>
      <c r="C3" s="226" t="str">
        <f>OF!C109</f>
        <v>From a topographic map and field observations, estimate the approximate boundaries of the catchment (CA) of the entire wetland of which the AA may be only a part. Then adjust those boundaries if necessary based on your field observations of the surrounding terrain, and/or by using procedures described in the Manual.  Divide the area of the wetland (not just the AA) by the approximate area of its catchment excluding the area of the wetland itself.  When doing the calculation, if ponded water is adjacent to the wetland, include that in the wetland's area.  The result is:</v>
      </c>
      <c r="D3" s="348"/>
      <c r="E3" s="351"/>
      <c r="F3" s="350"/>
      <c r="G3" s="253">
        <f>(MAX(F4:F7))/MAX(E4:E7)</f>
        <v>0</v>
      </c>
      <c r="H3" s="1693" t="s">
        <v>1539</v>
      </c>
      <c r="I3" s="1669" t="s">
        <v>374</v>
      </c>
    </row>
    <row r="4" spans="1:9" ht="15" customHeight="1" x14ac:dyDescent="0.2">
      <c r="A4" s="1919"/>
      <c r="B4" s="1790"/>
      <c r="C4" s="1329" t="str">
        <f>OF!C110</f>
        <v>&lt;0.01, or catchment size unknown due to stormwater pipes that collect water from an indeterminate area.</v>
      </c>
      <c r="D4" s="134">
        <f>OF!D110</f>
        <v>0</v>
      </c>
      <c r="E4" s="196">
        <v>0</v>
      </c>
      <c r="F4" s="196">
        <f>D4*E4</f>
        <v>0</v>
      </c>
      <c r="G4" s="274"/>
      <c r="H4" s="1696"/>
      <c r="I4" s="1670"/>
    </row>
    <row r="5" spans="1:9" ht="15" customHeight="1" x14ac:dyDescent="0.2">
      <c r="A5" s="1919"/>
      <c r="B5" s="1790"/>
      <c r="C5" s="1330" t="str">
        <f>OF!C111</f>
        <v>0.01 to 0.1.</v>
      </c>
      <c r="D5" s="122">
        <f>OF!D111</f>
        <v>0</v>
      </c>
      <c r="E5" s="196">
        <v>1</v>
      </c>
      <c r="F5" s="196">
        <f>D5*E5</f>
        <v>0</v>
      </c>
      <c r="G5" s="271"/>
      <c r="H5" s="1696"/>
      <c r="I5" s="1670"/>
    </row>
    <row r="6" spans="1:9" ht="15" customHeight="1" x14ac:dyDescent="0.2">
      <c r="A6" s="1919"/>
      <c r="B6" s="1790"/>
      <c r="C6" s="1330" t="str">
        <f>OF!C112</f>
        <v>0.1 to 1.</v>
      </c>
      <c r="D6" s="122">
        <f>OF!D112</f>
        <v>0</v>
      </c>
      <c r="E6" s="196">
        <v>2</v>
      </c>
      <c r="F6" s="196">
        <f>D6*E6</f>
        <v>0</v>
      </c>
      <c r="G6" s="271"/>
      <c r="H6" s="1696"/>
      <c r="I6" s="1670"/>
    </row>
    <row r="7" spans="1:9" ht="27" customHeight="1" thickBot="1" x14ac:dyDescent="0.25">
      <c r="A7" s="1924"/>
      <c r="B7" s="1791"/>
      <c r="C7" s="1333" t="str">
        <f>OF!C113</f>
        <v xml:space="preserve">&gt;1 (wetland is larger than its catchment (e.g., wetland with flat surrounding terrain and no inlet, or is entirely isolated by dikes, or is a raised bog). </v>
      </c>
      <c r="D7" s="123">
        <f>OF!D113</f>
        <v>0</v>
      </c>
      <c r="E7" s="349">
        <v>3</v>
      </c>
      <c r="F7" s="349">
        <f>D7*E7</f>
        <v>0</v>
      </c>
      <c r="G7" s="261"/>
      <c r="H7" s="1712"/>
      <c r="I7" s="1671"/>
    </row>
    <row r="8" spans="1:9" ht="21" customHeight="1" thickBot="1" x14ac:dyDescent="0.25">
      <c r="A8" s="1814" t="str">
        <f>OF!A126</f>
        <v>OF26</v>
      </c>
      <c r="B8" s="1790" t="str">
        <f>OF!B126</f>
        <v>Internal Flow Distance (Path Length)</v>
      </c>
      <c r="C8" s="372" t="str">
        <f>OF!C126</f>
        <v xml:space="preserve">The horizontal flow distance from the wetland's inlet to outlet is: </v>
      </c>
      <c r="D8" s="193"/>
      <c r="E8" s="193"/>
      <c r="F8" s="364"/>
      <c r="G8" s="268">
        <f>MAX(F9:F14)/MAX(E9:E14)</f>
        <v>0</v>
      </c>
      <c r="H8" s="1670" t="s">
        <v>1002</v>
      </c>
      <c r="I8" s="1669" t="s">
        <v>1007</v>
      </c>
    </row>
    <row r="9" spans="1:9" ht="15" customHeight="1" x14ac:dyDescent="0.2">
      <c r="A9" s="1814"/>
      <c r="B9" s="1790"/>
      <c r="C9" s="1335" t="str">
        <f>OF!C127</f>
        <v>&lt;10 m.</v>
      </c>
      <c r="D9" s="135">
        <f>OF!D127</f>
        <v>0</v>
      </c>
      <c r="E9" s="195">
        <v>0</v>
      </c>
      <c r="F9" s="198">
        <f t="shared" ref="F9:F14" si="0">D9*E9</f>
        <v>0</v>
      </c>
      <c r="G9" s="271"/>
      <c r="H9" s="1670"/>
      <c r="I9" s="1670"/>
    </row>
    <row r="10" spans="1:9" ht="15" customHeight="1" x14ac:dyDescent="0.2">
      <c r="A10" s="1814"/>
      <c r="B10" s="1790"/>
      <c r="C10" s="1331" t="str">
        <f>OF!C128</f>
        <v>10 - 50 m.</v>
      </c>
      <c r="D10" s="136">
        <f>OF!D128</f>
        <v>0</v>
      </c>
      <c r="E10" s="195">
        <v>1</v>
      </c>
      <c r="F10" s="198">
        <f t="shared" si="0"/>
        <v>0</v>
      </c>
      <c r="G10" s="271"/>
      <c r="H10" s="1670"/>
      <c r="I10" s="1670"/>
    </row>
    <row r="11" spans="1:9" ht="15" customHeight="1" x14ac:dyDescent="0.2">
      <c r="A11" s="1814"/>
      <c r="B11" s="1790"/>
      <c r="C11" s="1331" t="str">
        <f>OF!C129</f>
        <v>50 - 100 m.</v>
      </c>
      <c r="D11" s="136">
        <f>OF!D129</f>
        <v>0</v>
      </c>
      <c r="E11" s="195">
        <v>2</v>
      </c>
      <c r="F11" s="198">
        <f t="shared" si="0"/>
        <v>0</v>
      </c>
      <c r="G11" s="271"/>
      <c r="H11" s="1670"/>
      <c r="I11" s="1670"/>
    </row>
    <row r="12" spans="1:9" ht="15" customHeight="1" x14ac:dyDescent="0.2">
      <c r="A12" s="1814"/>
      <c r="B12" s="1790"/>
      <c r="C12" s="1331" t="str">
        <f>OF!C130</f>
        <v>100 - 1000 m.</v>
      </c>
      <c r="D12" s="136">
        <f>OF!D130</f>
        <v>0</v>
      </c>
      <c r="E12" s="195">
        <v>3</v>
      </c>
      <c r="F12" s="198">
        <f t="shared" si="0"/>
        <v>0</v>
      </c>
      <c r="G12" s="271"/>
      <c r="H12" s="1670"/>
      <c r="I12" s="1670"/>
    </row>
    <row r="13" spans="1:9" ht="15" customHeight="1" x14ac:dyDescent="0.2">
      <c r="A13" s="1814"/>
      <c r="B13" s="1790"/>
      <c r="C13" s="1331" t="str">
        <f>OF!C131</f>
        <v>1- 2 km.</v>
      </c>
      <c r="D13" s="136">
        <f>OF!D131</f>
        <v>0</v>
      </c>
      <c r="E13" s="195">
        <v>4</v>
      </c>
      <c r="F13" s="198">
        <f t="shared" si="0"/>
        <v>0</v>
      </c>
      <c r="G13" s="271"/>
      <c r="H13" s="1670"/>
      <c r="I13" s="1670"/>
    </row>
    <row r="14" spans="1:9" ht="15" customHeight="1" thickBot="1" x14ac:dyDescent="0.25">
      <c r="A14" s="1815"/>
      <c r="B14" s="1791"/>
      <c r="C14" s="1331" t="str">
        <f>OF!C132</f>
        <v>&gt;2 km, or wetland lacks an inlet and outlet.</v>
      </c>
      <c r="D14" s="136">
        <f>OF!D132</f>
        <v>0</v>
      </c>
      <c r="E14" s="197">
        <v>6</v>
      </c>
      <c r="F14" s="198">
        <f t="shared" si="0"/>
        <v>0</v>
      </c>
      <c r="G14" s="257"/>
      <c r="H14" s="1671"/>
      <c r="I14" s="1671"/>
    </row>
    <row r="15" spans="1:9" ht="60" customHeight="1" thickBot="1" x14ac:dyDescent="0.25">
      <c r="A15" s="1123" t="str">
        <f>OF!A133</f>
        <v>OF27</v>
      </c>
      <c r="B15" s="644" t="str">
        <f>OF!B133</f>
        <v>Growing Degree Days</v>
      </c>
      <c r="C15" s="336" t="str">
        <f>OF!C133</f>
        <v>In Google Earth, open the KMZ file that accompanies this calculator, called NB-PEI_GrowingDegreeDays. Place your cursor over the AA and left-click. From the pop-up, enter the GRIDCODE in the next column.</v>
      </c>
      <c r="D15" s="140">
        <f>OF!D133</f>
        <v>0</v>
      </c>
      <c r="E15" s="1410"/>
      <c r="F15" s="360"/>
      <c r="G15" s="262" t="str">
        <f>IF((GrowD&lt;1),"",(GrowD-1305)/1328)</f>
        <v/>
      </c>
      <c r="H15" s="120" t="s">
        <v>1132</v>
      </c>
      <c r="I15" s="120" t="s">
        <v>373</v>
      </c>
    </row>
    <row r="16" spans="1:9" ht="30" customHeight="1" thickBot="1" x14ac:dyDescent="0.25">
      <c r="A16" s="1813" t="str">
        <f>F!A63</f>
        <v>F11</v>
      </c>
      <c r="B16" s="1816" t="str">
        <f>F!B63</f>
        <v>% Bare Ground &amp; Thatch</v>
      </c>
      <c r="C16" s="339" t="str">
        <f>F!C63</f>
        <v>Consider the parts of the AA that lack surface water at the driest time of the growing season. Viewed from directly above the ground layer, the predominant condition in those areas at that time is:</v>
      </c>
      <c r="D16" s="193"/>
      <c r="E16" s="352"/>
      <c r="F16" s="194"/>
      <c r="G16" s="268">
        <f>MAX(F17:F20)/MAX(E17:E20)</f>
        <v>0</v>
      </c>
      <c r="H16" s="1669" t="s">
        <v>571</v>
      </c>
      <c r="I16" s="1669" t="s">
        <v>369</v>
      </c>
    </row>
    <row r="17" spans="1:9" ht="42" customHeight="1" x14ac:dyDescent="0.2">
      <c r="A17" s="1814"/>
      <c r="B17" s="1790"/>
      <c r="C17" s="69" t="str">
        <f>F!C64</f>
        <v>Little or no (&lt;5%) bare ground is visible between erect stems or under canopy anywhere in the vegetated AA. Ground is extensively blanketed by dense thatch, moss, lichens, graminoids with great stem densities, or plants with ground-hugging foliage. </v>
      </c>
      <c r="D17" s="134">
        <f>F!D64</f>
        <v>0</v>
      </c>
      <c r="E17" s="196">
        <v>3</v>
      </c>
      <c r="F17" s="196">
        <f>D17*E17</f>
        <v>0</v>
      </c>
      <c r="G17" s="274"/>
      <c r="H17" s="1670"/>
      <c r="I17" s="1670"/>
    </row>
    <row r="18" spans="1:9" ht="27" customHeight="1" x14ac:dyDescent="0.2">
      <c r="A18" s="1814"/>
      <c r="B18" s="1790"/>
      <c r="C18" s="37" t="str">
        <f>F!C65</f>
        <v>Slightly bare ground (5-20% bare between plants) is visible in places, but those areas comprise less than 5% of the unflooded parts of the AA.</v>
      </c>
      <c r="D18" s="122">
        <f>F!D65</f>
        <v>0</v>
      </c>
      <c r="E18" s="196">
        <v>2</v>
      </c>
      <c r="F18" s="196">
        <f>D18*E18</f>
        <v>0</v>
      </c>
      <c r="G18" s="271"/>
      <c r="H18" s="1670"/>
      <c r="I18" s="1670"/>
    </row>
    <row r="19" spans="1:9" ht="27" customHeight="1" x14ac:dyDescent="0.2">
      <c r="A19" s="1814"/>
      <c r="B19" s="1790"/>
      <c r="C19" s="37" t="str">
        <f>F!C66</f>
        <v>Much bare ground (20-50% bare between plants) is visible in places, and those areas comprise more than 5% of the unflooded parts of the AA. </v>
      </c>
      <c r="D19" s="122">
        <f>F!D66</f>
        <v>0</v>
      </c>
      <c r="E19" s="196">
        <v>1</v>
      </c>
      <c r="F19" s="196">
        <f>D19*E19</f>
        <v>0</v>
      </c>
      <c r="G19" s="271"/>
      <c r="H19" s="1670"/>
      <c r="I19" s="1670"/>
    </row>
    <row r="20" spans="1:9" ht="15" customHeight="1" thickBot="1" x14ac:dyDescent="0.25">
      <c r="A20" s="1815"/>
      <c r="B20" s="1791"/>
      <c r="C20" s="233" t="str">
        <f>F!C67</f>
        <v>Other conditions.</v>
      </c>
      <c r="D20" s="123">
        <f>F!D67</f>
        <v>0</v>
      </c>
      <c r="E20" s="349">
        <v>0</v>
      </c>
      <c r="F20" s="349">
        <f>D20*E20</f>
        <v>0</v>
      </c>
      <c r="G20" s="261"/>
      <c r="H20" s="1671"/>
      <c r="I20" s="1671"/>
    </row>
    <row r="21" spans="1:9" ht="60" customHeight="1" thickBot="1" x14ac:dyDescent="0.25">
      <c r="A21" s="1813" t="str">
        <f>F!A69</f>
        <v>F12</v>
      </c>
      <c r="B21" s="1816" t="str">
        <f>F!B69</f>
        <v xml:space="preserve">Ground Irregularity </v>
      </c>
      <c r="C21" s="226" t="str">
        <f>F!C69</f>
        <v>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v>
      </c>
      <c r="D21" s="195"/>
      <c r="E21" s="351"/>
      <c r="F21" s="350"/>
      <c r="G21" s="253">
        <f>MAX(F22:F24)/MAX(E22:E24)</f>
        <v>0</v>
      </c>
      <c r="H21" s="1693" t="s">
        <v>68</v>
      </c>
      <c r="I21" s="1669" t="s">
        <v>370</v>
      </c>
    </row>
    <row r="22" spans="1:9" ht="27" customHeight="1" x14ac:dyDescent="0.2">
      <c r="A22" s="1814"/>
      <c r="B22" s="1790"/>
      <c r="C22" s="69" t="str">
        <f>F!C70</f>
        <v>Few or none (minimal microtopography; &lt;1% of the land has such features, or entire AA is always water-covered).</v>
      </c>
      <c r="D22" s="134">
        <f>F!D70</f>
        <v>0</v>
      </c>
      <c r="E22" s="196">
        <v>0</v>
      </c>
      <c r="F22" s="196">
        <f>D22*E22</f>
        <v>0</v>
      </c>
      <c r="G22" s="274"/>
      <c r="H22" s="1696"/>
      <c r="I22" s="1670"/>
    </row>
    <row r="23" spans="1:9" ht="15" customHeight="1" x14ac:dyDescent="0.2">
      <c r="A23" s="1814"/>
      <c r="B23" s="1790"/>
      <c r="C23" s="37" t="str">
        <f>F!C71</f>
        <v>Intermediate.</v>
      </c>
      <c r="D23" s="122">
        <f>F!D71</f>
        <v>0</v>
      </c>
      <c r="E23" s="196">
        <v>1</v>
      </c>
      <c r="F23" s="196">
        <f>D23*E23</f>
        <v>0</v>
      </c>
      <c r="G23" s="271"/>
      <c r="H23" s="1696"/>
      <c r="I23" s="1670"/>
    </row>
    <row r="24" spans="1:9" ht="15" customHeight="1" thickBot="1" x14ac:dyDescent="0.25">
      <c r="A24" s="1815"/>
      <c r="B24" s="1791"/>
      <c r="C24" s="233" t="str">
        <f>F!C72</f>
        <v>Several (extensive micro-topography).</v>
      </c>
      <c r="D24" s="123">
        <f>F!D72</f>
        <v>0</v>
      </c>
      <c r="E24" s="349">
        <v>2</v>
      </c>
      <c r="F24" s="349">
        <f>D24*E24</f>
        <v>0</v>
      </c>
      <c r="G24" s="261"/>
      <c r="H24" s="1712"/>
      <c r="I24" s="1671"/>
    </row>
    <row r="25" spans="1:9" ht="45" customHeight="1" thickBot="1" x14ac:dyDescent="0.25">
      <c r="A25" s="1817" t="str">
        <f>F!A77</f>
        <v>F14</v>
      </c>
      <c r="B25" s="1790" t="str">
        <f>F!B77</f>
        <v>Soil Texture</v>
      </c>
      <c r="C25" s="339" t="str">
        <f>F!C77</f>
        <v xml:space="preserve">In parts of the AA that lack persistent water, the texture of soil in the uppermost layer is mostly:  [To determine this, use a trowel to check in at least 3 widely spaced locations, and use the soil texture key (in Appendix A of the Manual).] </v>
      </c>
      <c r="D25" s="195"/>
      <c r="E25" s="352"/>
      <c r="F25" s="194"/>
      <c r="G25" s="268">
        <f>MAX(F26:F30)/MAX(E26:E30)</f>
        <v>0</v>
      </c>
      <c r="H25" s="1693" t="s">
        <v>1495</v>
      </c>
      <c r="I25" s="1669" t="s">
        <v>371</v>
      </c>
    </row>
    <row r="26" spans="1:9" ht="27" customHeight="1" x14ac:dyDescent="0.2">
      <c r="A26" s="1817"/>
      <c r="B26" s="1790"/>
      <c r="C26" s="69" t="str">
        <f>F!C78</f>
        <v>Loamy: soils that may contain a little fine grit and do not make a "ribbon" longer than 2 cm when moistened, rolled, squeezed, and extended between thumb and forefinger.</v>
      </c>
      <c r="D26" s="134">
        <f>F!D78</f>
        <v>0</v>
      </c>
      <c r="E26" s="196">
        <v>2</v>
      </c>
      <c r="F26" s="196">
        <f>D26*E26</f>
        <v>0</v>
      </c>
      <c r="G26" s="274"/>
      <c r="H26" s="1696"/>
      <c r="I26" s="1670"/>
    </row>
    <row r="27" spans="1:9" ht="27" customHeight="1" x14ac:dyDescent="0.2">
      <c r="A27" s="1817"/>
      <c r="B27" s="1790"/>
      <c r="C27" s="37" t="str">
        <f>F!C79</f>
        <v>Fines: includes silt, clay, silt, soils that make a ribbon longer than 2 cm when moistened, rolled, squeezed, and extended between thumb and forefinger.</v>
      </c>
      <c r="D27" s="122">
        <f>F!D79</f>
        <v>0</v>
      </c>
      <c r="E27" s="196">
        <v>3</v>
      </c>
      <c r="F27" s="196">
        <f>D27*E27</f>
        <v>0</v>
      </c>
      <c r="G27" s="271"/>
      <c r="H27" s="1696"/>
      <c r="I27" s="1670"/>
    </row>
    <row r="28" spans="1:9" ht="15" customHeight="1" x14ac:dyDescent="0.2">
      <c r="A28" s="1817"/>
      <c r="B28" s="1790"/>
      <c r="C28" s="37" t="str">
        <f>F!C80</f>
        <v>Deep Peat, to 40 cm depth or greater.</v>
      </c>
      <c r="D28" s="122">
        <f>F!D80</f>
        <v>0</v>
      </c>
      <c r="E28" s="196">
        <v>5</v>
      </c>
      <c r="F28" s="196">
        <f>D28*E28</f>
        <v>0</v>
      </c>
      <c r="G28" s="271"/>
      <c r="H28" s="1696"/>
      <c r="I28" s="1670"/>
    </row>
    <row r="29" spans="1:9" ht="15" customHeight="1" x14ac:dyDescent="0.2">
      <c r="A29" s="1817"/>
      <c r="B29" s="1790"/>
      <c r="C29" s="37" t="str">
        <f>F!C81</f>
        <v xml:space="preserve">Shallow Peat or organic &lt;40 cm deep. </v>
      </c>
      <c r="D29" s="122">
        <f>F!D81</f>
        <v>0</v>
      </c>
      <c r="E29" s="196">
        <v>4</v>
      </c>
      <c r="F29" s="196">
        <f>D29*E29</f>
        <v>0</v>
      </c>
      <c r="G29" s="257"/>
      <c r="H29" s="1696"/>
      <c r="I29" s="1670"/>
    </row>
    <row r="30" spans="1:9" ht="27" customHeight="1" thickBot="1" x14ac:dyDescent="0.25">
      <c r="A30" s="1817"/>
      <c r="B30" s="1790"/>
      <c r="C30" s="673" t="str">
        <f>F!C82</f>
        <v>Coarse: includes sand, loamy sand, gravel, cobble, soils that do not make a ribbon when moistened, rolled, squeezed, and extended between thumb and forefinger.</v>
      </c>
      <c r="D30" s="136">
        <f>F!D82</f>
        <v>0</v>
      </c>
      <c r="E30" s="198">
        <v>1</v>
      </c>
      <c r="F30" s="198">
        <f>D30*E30</f>
        <v>0</v>
      </c>
      <c r="G30" s="257"/>
      <c r="H30" s="1712"/>
      <c r="I30" s="1671"/>
    </row>
    <row r="31" spans="1:9" ht="30" customHeight="1" thickBot="1" x14ac:dyDescent="0.25">
      <c r="A31" s="371" t="str">
        <f>F!A120</f>
        <v>F23</v>
      </c>
      <c r="B31" s="61" t="str">
        <f>F!B120</f>
        <v>Lacustrine Wetland</v>
      </c>
      <c r="C31" s="374" t="str">
        <f>F!C120</f>
        <v>The vegetated part of the AA is within or adjacent to a body of non-tidal standing open water whose size exceeds 8 hectares during most of a normal year.</v>
      </c>
      <c r="D31" s="142">
        <f>F!D120</f>
        <v>0</v>
      </c>
      <c r="E31" s="354"/>
      <c r="F31" s="360"/>
      <c r="G31" s="253">
        <f>IF((AllSat1&gt;0),"",IF((NoPersis=1),"",D31))</f>
        <v>0</v>
      </c>
      <c r="H31" s="36" t="s">
        <v>1166</v>
      </c>
      <c r="I31" s="3" t="s">
        <v>360</v>
      </c>
    </row>
    <row r="32" spans="1:9" ht="30" customHeight="1" thickBot="1" x14ac:dyDescent="0.25">
      <c r="A32" s="1823" t="str">
        <f>F!A121</f>
        <v>F24</v>
      </c>
      <c r="B32" s="1825" t="str">
        <f>F!B121</f>
        <v>% of AA Without Surface Water</v>
      </c>
      <c r="C32" s="340" t="str">
        <f>F!C121</f>
        <v>The percentage of the AA that never contains surface water during an average year (that is, except perhaps for a few hours after snowmelt or rainstorms), but which is still a wetland, is:</v>
      </c>
      <c r="D32" s="197"/>
      <c r="E32" s="362"/>
      <c r="F32" s="363"/>
      <c r="G32" s="268">
        <f>MAX(F33:F38)/MAX(E33:E38)</f>
        <v>0</v>
      </c>
      <c r="H32" s="1670" t="s">
        <v>653</v>
      </c>
      <c r="I32" s="1669" t="s">
        <v>975</v>
      </c>
    </row>
    <row r="33" spans="1:9" ht="15" customHeight="1" x14ac:dyDescent="0.2">
      <c r="A33" s="1823"/>
      <c r="B33" s="1824"/>
      <c r="C33" s="341" t="str">
        <f>F!C122</f>
        <v xml:space="preserve">&lt;1% . In other words, all or nearly all of the AA is covered by water permanently or at least seasonally.  </v>
      </c>
      <c r="D33" s="138">
        <f>F!D122</f>
        <v>0</v>
      </c>
      <c r="E33" s="196">
        <v>0</v>
      </c>
      <c r="F33" s="196">
        <f t="shared" ref="F33:F38" si="1">D33*E33</f>
        <v>0</v>
      </c>
      <c r="G33" s="271"/>
      <c r="H33" s="1670"/>
      <c r="I33" s="1670"/>
    </row>
    <row r="34" spans="1:9" ht="15" customHeight="1" x14ac:dyDescent="0.2">
      <c r="A34" s="1823"/>
      <c r="B34" s="1824"/>
      <c r="C34" s="342" t="str">
        <f>F!C123</f>
        <v>1-25% of the AA,  or &lt;1% but &gt;0.01 ha never contains surface water.</v>
      </c>
      <c r="D34" s="138">
        <f>F!D123</f>
        <v>0</v>
      </c>
      <c r="E34" s="196">
        <v>1</v>
      </c>
      <c r="F34" s="196">
        <f t="shared" si="1"/>
        <v>0</v>
      </c>
      <c r="G34" s="271"/>
      <c r="H34" s="1670"/>
      <c r="I34" s="1670"/>
    </row>
    <row r="35" spans="1:9" ht="15" customHeight="1" x14ac:dyDescent="0.2">
      <c r="A35" s="1823"/>
      <c r="B35" s="1824"/>
      <c r="C35" s="342" t="str">
        <f>F!C124</f>
        <v>25-50% of the AA never contains surface water.</v>
      </c>
      <c r="D35" s="138">
        <f>F!D124</f>
        <v>0</v>
      </c>
      <c r="E35" s="196">
        <v>2</v>
      </c>
      <c r="F35" s="196">
        <f t="shared" si="1"/>
        <v>0</v>
      </c>
      <c r="G35" s="271"/>
      <c r="H35" s="1670"/>
      <c r="I35" s="1670"/>
    </row>
    <row r="36" spans="1:9" ht="15" customHeight="1" x14ac:dyDescent="0.2">
      <c r="A36" s="1823"/>
      <c r="B36" s="1824"/>
      <c r="C36" s="342" t="str">
        <f>F!C125</f>
        <v>50-75% of the AA never contains surface water.</v>
      </c>
      <c r="D36" s="138">
        <f>F!D125</f>
        <v>0</v>
      </c>
      <c r="E36" s="196">
        <v>3</v>
      </c>
      <c r="F36" s="196">
        <f t="shared" si="1"/>
        <v>0</v>
      </c>
      <c r="G36" s="271"/>
      <c r="H36" s="1670"/>
      <c r="I36" s="1670"/>
    </row>
    <row r="37" spans="1:9" ht="27" customHeight="1" x14ac:dyDescent="0.2">
      <c r="A37" s="1823"/>
      <c r="B37" s="1824"/>
      <c r="C37" s="342" t="str">
        <f>F!C126</f>
        <v>75-99% of the AA never contains surface water, OR &gt;99% and there is at least one persistently ponded water body larger than 1 ha in the AA.</v>
      </c>
      <c r="D37" s="138">
        <f>F!D126</f>
        <v>0</v>
      </c>
      <c r="E37" s="196">
        <v>4</v>
      </c>
      <c r="F37" s="196">
        <f t="shared" si="1"/>
        <v>0</v>
      </c>
      <c r="G37" s="271"/>
      <c r="H37" s="1670"/>
      <c r="I37" s="1670"/>
    </row>
    <row r="38" spans="1:9" ht="27" customHeight="1" thickBot="1" x14ac:dyDescent="0.25">
      <c r="A38" s="1823"/>
      <c r="B38" s="1835"/>
      <c r="C38" s="375" t="str">
        <f>F!C127</f>
        <v>99-100%. AND there is no persistently ponded water body larger than 1 ha within the AA. Enter "1" and SKIP to F42 (Channel Connection).</v>
      </c>
      <c r="D38" s="143">
        <f>F!D127</f>
        <v>0</v>
      </c>
      <c r="E38" s="198">
        <v>5</v>
      </c>
      <c r="F38" s="198">
        <f t="shared" si="1"/>
        <v>0</v>
      </c>
      <c r="G38" s="257"/>
      <c r="H38" s="1670"/>
      <c r="I38" s="1671"/>
    </row>
    <row r="39" spans="1:9" ht="45" customHeight="1" thickBot="1" x14ac:dyDescent="0.25">
      <c r="A39" s="1813" t="str">
        <f>F!A128</f>
        <v>F25</v>
      </c>
      <c r="B39" s="1816" t="str">
        <f>F!B128</f>
        <v>% of AA with Persistent Surface Water</v>
      </c>
      <c r="C39" s="226" t="str">
        <f>F!C128</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39" s="348"/>
      <c r="E39" s="351"/>
      <c r="F39" s="350"/>
      <c r="G39" s="253">
        <f>IF((AllSat1&gt;0),"",MAX(F40:F44)/MAX(E40:E44))</f>
        <v>0</v>
      </c>
      <c r="H39" s="1693" t="s">
        <v>1814</v>
      </c>
      <c r="I39" s="1669" t="s">
        <v>361</v>
      </c>
    </row>
    <row r="40" spans="1:9" ht="27" customHeight="1" x14ac:dyDescent="0.2">
      <c r="A40" s="1814"/>
      <c r="B40" s="1790"/>
      <c r="C40" s="37" t="str">
        <f>F!C129</f>
        <v>None. The AA dries up completely (no water in channels either) or never has surface water during most years.  SKIP to F27.</v>
      </c>
      <c r="D40" s="122">
        <f>F!D129</f>
        <v>0</v>
      </c>
      <c r="E40" s="352">
        <v>5</v>
      </c>
      <c r="F40" s="196">
        <f>D40*E40</f>
        <v>0</v>
      </c>
      <c r="G40" s="271"/>
      <c r="H40" s="1696"/>
      <c r="I40" s="1670"/>
    </row>
    <row r="41" spans="1:9" ht="18" customHeight="1" x14ac:dyDescent="0.2">
      <c r="A41" s="1814"/>
      <c r="B41" s="1790"/>
      <c r="C41" s="37" t="str">
        <f>F!C130</f>
        <v>1-20% of the AA.</v>
      </c>
      <c r="D41" s="122">
        <f>F!D130</f>
        <v>0</v>
      </c>
      <c r="E41" s="196">
        <v>4</v>
      </c>
      <c r="F41" s="196">
        <f>D41*E41</f>
        <v>0</v>
      </c>
      <c r="G41" s="274"/>
      <c r="H41" s="1696"/>
      <c r="I41" s="1670"/>
    </row>
    <row r="42" spans="1:9" ht="18" customHeight="1" x14ac:dyDescent="0.2">
      <c r="A42" s="1814"/>
      <c r="B42" s="1790"/>
      <c r="C42" s="37" t="str">
        <f>F!C131</f>
        <v>20-50% of the AA.</v>
      </c>
      <c r="D42" s="122">
        <f>F!D131</f>
        <v>0</v>
      </c>
      <c r="E42" s="196">
        <v>3</v>
      </c>
      <c r="F42" s="196">
        <f>D42*E42</f>
        <v>0</v>
      </c>
      <c r="G42" s="271"/>
      <c r="H42" s="1696"/>
      <c r="I42" s="1670"/>
    </row>
    <row r="43" spans="1:9" ht="18" customHeight="1" x14ac:dyDescent="0.2">
      <c r="A43" s="1814"/>
      <c r="B43" s="1790"/>
      <c r="C43" s="37" t="str">
        <f>F!C132</f>
        <v>50-95% of the AA.</v>
      </c>
      <c r="D43" s="122">
        <f>F!D132</f>
        <v>0</v>
      </c>
      <c r="E43" s="196">
        <v>2</v>
      </c>
      <c r="F43" s="196">
        <f>D43*E43</f>
        <v>0</v>
      </c>
      <c r="G43" s="271"/>
      <c r="H43" s="1696"/>
      <c r="I43" s="1670"/>
    </row>
    <row r="44" spans="1:9" ht="18" customHeight="1" thickBot="1" x14ac:dyDescent="0.25">
      <c r="A44" s="1815"/>
      <c r="B44" s="1791"/>
      <c r="C44" s="233" t="str">
        <f>F!C133</f>
        <v>&gt;95% of the AA. True for many fringe wetlands.</v>
      </c>
      <c r="D44" s="123">
        <f>F!D133</f>
        <v>0</v>
      </c>
      <c r="E44" s="349">
        <v>1</v>
      </c>
      <c r="F44" s="349">
        <f>D44*E44</f>
        <v>0</v>
      </c>
      <c r="G44" s="261"/>
      <c r="H44" s="1712"/>
      <c r="I44" s="1671"/>
    </row>
    <row r="45" spans="1:9" ht="30" customHeight="1" thickBot="1" x14ac:dyDescent="0.25">
      <c r="A45" s="1919" t="str">
        <f>F!A146</f>
        <v>F28</v>
      </c>
      <c r="B45" s="1790" t="str">
        <f>F!B146</f>
        <v>Annual Water Fluctuation Range</v>
      </c>
      <c r="C45" s="339" t="str">
        <f>F!C146</f>
        <v>The annual fluctuation in surface water level within most of the parts of the AA that contain surface water at least temporarily is:</v>
      </c>
      <c r="D45" s="193"/>
      <c r="E45" s="352"/>
      <c r="F45" s="194"/>
      <c r="G45" s="268">
        <f>IF((AllSat1&gt;0),"",IF((NoSeasonal=1),"",MAX(F46:F50)/MAX(E46:E50)))</f>
        <v>0</v>
      </c>
      <c r="H45" s="1696" t="s">
        <v>1815</v>
      </c>
      <c r="I45" s="1669" t="s">
        <v>363</v>
      </c>
    </row>
    <row r="46" spans="1:9" ht="18" customHeight="1" x14ac:dyDescent="0.2">
      <c r="A46" s="1919"/>
      <c r="B46" s="1790"/>
      <c r="C46" s="69" t="str">
        <f>F!C147</f>
        <v>&lt;10 cm change (stable or nearly so).</v>
      </c>
      <c r="D46" s="134">
        <f>F!D147</f>
        <v>0</v>
      </c>
      <c r="E46" s="196">
        <v>5</v>
      </c>
      <c r="F46" s="196">
        <f>D46*E46</f>
        <v>0</v>
      </c>
      <c r="G46" s="274"/>
      <c r="H46" s="1696"/>
      <c r="I46" s="1670"/>
    </row>
    <row r="47" spans="1:9" ht="18" customHeight="1" x14ac:dyDescent="0.2">
      <c r="A47" s="1919"/>
      <c r="B47" s="1790"/>
      <c r="C47" s="37" t="str">
        <f>F!C148</f>
        <v>10 cm - 50 cm change.</v>
      </c>
      <c r="D47" s="122">
        <f>F!D148</f>
        <v>0</v>
      </c>
      <c r="E47" s="195">
        <v>3</v>
      </c>
      <c r="F47" s="196">
        <f>D47*E47</f>
        <v>0</v>
      </c>
      <c r="G47" s="271"/>
      <c r="H47" s="1696"/>
      <c r="I47" s="1670"/>
    </row>
    <row r="48" spans="1:9" ht="18" customHeight="1" x14ac:dyDescent="0.2">
      <c r="A48" s="1919"/>
      <c r="B48" s="1790"/>
      <c r="C48" s="37" t="str">
        <f>F!C149</f>
        <v>0.5 - 1 m change.</v>
      </c>
      <c r="D48" s="122">
        <f>F!D149</f>
        <v>0</v>
      </c>
      <c r="E48" s="195">
        <v>2</v>
      </c>
      <c r="F48" s="196">
        <f>D48*E48</f>
        <v>0</v>
      </c>
      <c r="G48" s="271"/>
      <c r="H48" s="1696"/>
      <c r="I48" s="1670"/>
    </row>
    <row r="49" spans="1:9" ht="18" customHeight="1" x14ac:dyDescent="0.2">
      <c r="A49" s="1919"/>
      <c r="B49" s="1790"/>
      <c r="C49" s="37" t="str">
        <f>F!C150</f>
        <v>1-2 m change.</v>
      </c>
      <c r="D49" s="122">
        <f>F!D150</f>
        <v>0</v>
      </c>
      <c r="E49" s="196">
        <v>1</v>
      </c>
      <c r="F49" s="196">
        <f>D49*E49</f>
        <v>0</v>
      </c>
      <c r="G49" s="271"/>
      <c r="H49" s="1696"/>
      <c r="I49" s="1670"/>
    </row>
    <row r="50" spans="1:9" ht="18" customHeight="1" thickBot="1" x14ac:dyDescent="0.25">
      <c r="A50" s="1924"/>
      <c r="B50" s="1791"/>
      <c r="C50" s="37" t="str">
        <f>F!C151</f>
        <v>&gt;2 m change.</v>
      </c>
      <c r="D50" s="122">
        <f>F!D151</f>
        <v>0</v>
      </c>
      <c r="E50" s="349">
        <v>1</v>
      </c>
      <c r="F50" s="349">
        <f>D50*E50</f>
        <v>0</v>
      </c>
      <c r="G50" s="261"/>
      <c r="H50" s="1712"/>
      <c r="I50" s="1671"/>
    </row>
    <row r="51" spans="1:9" ht="30" customHeight="1" thickBot="1" x14ac:dyDescent="0.25">
      <c r="A51" s="1919" t="str">
        <f>F!A153</f>
        <v>F29</v>
      </c>
      <c r="B51" s="1790" t="str">
        <f>F!B153</f>
        <v>Predominant Depth Class</v>
      </c>
      <c r="C51" s="226" t="str">
        <f>F!C153</f>
        <v>During most of the time when surface water is present during the growing season, its depth, averaged over the entire inundated part of the AA, is:</v>
      </c>
      <c r="D51" s="193"/>
      <c r="E51" s="352"/>
      <c r="F51" s="194"/>
      <c r="G51" s="268">
        <f>IF((AllSat1&gt;0),"",MAX(F52:F56)/MAX(E52:E56))</f>
        <v>0</v>
      </c>
      <c r="H51" s="1670" t="s">
        <v>1816</v>
      </c>
      <c r="I51" s="1669" t="s">
        <v>364</v>
      </c>
    </row>
    <row r="52" spans="1:9" ht="15" customHeight="1" x14ac:dyDescent="0.2">
      <c r="A52" s="1919"/>
      <c r="B52" s="1790"/>
      <c r="C52" s="69" t="str">
        <f>F!C154</f>
        <v>&lt;10 cm deep (but &gt;0).</v>
      </c>
      <c r="D52" s="134">
        <f>F!D154</f>
        <v>0</v>
      </c>
      <c r="E52" s="196">
        <v>1</v>
      </c>
      <c r="F52" s="196">
        <f>D52*E52</f>
        <v>0</v>
      </c>
      <c r="G52" s="274"/>
      <c r="H52" s="1670"/>
      <c r="I52" s="1670"/>
    </row>
    <row r="53" spans="1:9" ht="15" customHeight="1" x14ac:dyDescent="0.2">
      <c r="A53" s="1919"/>
      <c r="B53" s="1790"/>
      <c r="C53" s="37" t="str">
        <f>F!C155</f>
        <v>10 - 50 cm deep.</v>
      </c>
      <c r="D53" s="122">
        <f>F!D155</f>
        <v>0</v>
      </c>
      <c r="E53" s="196">
        <v>2</v>
      </c>
      <c r="F53" s="196">
        <f>D53*E53</f>
        <v>0</v>
      </c>
      <c r="G53" s="271"/>
      <c r="H53" s="1670"/>
      <c r="I53" s="1670"/>
    </row>
    <row r="54" spans="1:9" ht="15" customHeight="1" x14ac:dyDescent="0.2">
      <c r="A54" s="1919"/>
      <c r="B54" s="1790"/>
      <c r="C54" s="37" t="str">
        <f>F!C156</f>
        <v>0.5 - 1 m deep.</v>
      </c>
      <c r="D54" s="122">
        <f>F!D156</f>
        <v>0</v>
      </c>
      <c r="E54" s="196">
        <v>5</v>
      </c>
      <c r="F54" s="196">
        <f>D54*E54</f>
        <v>0</v>
      </c>
      <c r="G54" s="271"/>
      <c r="H54" s="1670"/>
      <c r="I54" s="1670"/>
    </row>
    <row r="55" spans="1:9" ht="15" customHeight="1" x14ac:dyDescent="0.2">
      <c r="A55" s="1919"/>
      <c r="B55" s="1790"/>
      <c r="C55" s="37" t="str">
        <f>F!C157</f>
        <v>1 - 2 m deep.</v>
      </c>
      <c r="D55" s="122">
        <f>F!D157</f>
        <v>0</v>
      </c>
      <c r="E55" s="196">
        <v>4</v>
      </c>
      <c r="F55" s="196">
        <f>D55*E55</f>
        <v>0</v>
      </c>
      <c r="G55" s="271"/>
      <c r="H55" s="1670"/>
      <c r="I55" s="1670"/>
    </row>
    <row r="56" spans="1:9" ht="15" customHeight="1" thickBot="1" x14ac:dyDescent="0.25">
      <c r="A56" s="1924"/>
      <c r="B56" s="1791"/>
      <c r="C56" s="233" t="str">
        <f>F!C158</f>
        <v>&gt;2 m deep. True for many fringe wetlands.</v>
      </c>
      <c r="D56" s="123">
        <f>F!D158</f>
        <v>0</v>
      </c>
      <c r="E56" s="349">
        <v>3</v>
      </c>
      <c r="F56" s="349">
        <f>D56*E56</f>
        <v>0</v>
      </c>
      <c r="G56" s="261"/>
      <c r="H56" s="1671"/>
      <c r="I56" s="1671"/>
    </row>
    <row r="57" spans="1:9" ht="30" customHeight="1" thickBot="1" x14ac:dyDescent="0.25">
      <c r="A57" s="1836" t="str">
        <f>F!A170</f>
        <v>F33</v>
      </c>
      <c r="B57" s="1825" t="str">
        <f>F!B170</f>
        <v xml:space="preserve">% of Ponded Water that is Open </v>
      </c>
      <c r="C57" s="237" t="str">
        <f>F!C170</f>
        <v>In ducks-eye aerial view, the percentage of the ponded water that is open (lacking emergent vegetation during most of the growing season, and unhidden by a forest or shrub canopy) is:</v>
      </c>
      <c r="D57" s="378"/>
      <c r="E57" s="351"/>
      <c r="F57" s="350"/>
      <c r="G57" s="253">
        <f>IF((AllSat1&gt;0),"",IF((NoPonded=1),"",MAX(F58:F63)/MAX(E58:E63)))</f>
        <v>0</v>
      </c>
      <c r="H57" s="1669" t="s">
        <v>1817</v>
      </c>
      <c r="I57" s="1669" t="s">
        <v>362</v>
      </c>
    </row>
    <row r="58" spans="1:9" ht="27" customHeight="1" x14ac:dyDescent="0.2">
      <c r="A58" s="1901"/>
      <c r="B58" s="1824"/>
      <c r="C58" s="617" t="str">
        <f>F!C171</f>
        <v>None, or &lt;1% of the AA and largest pool occupies &lt;0.01 hectares. Enter "1" and SKIP to F41 (Floating Algae &amp; Duckweed).</v>
      </c>
      <c r="D58" s="138">
        <f>F!D171</f>
        <v>0</v>
      </c>
      <c r="E58" s="203">
        <v>1</v>
      </c>
      <c r="F58" s="196">
        <f t="shared" ref="F58:F63" si="2">D58*E58</f>
        <v>0</v>
      </c>
      <c r="G58" s="274"/>
      <c r="H58" s="1670"/>
      <c r="I58" s="1670"/>
    </row>
    <row r="59" spans="1:9" ht="15" customHeight="1" x14ac:dyDescent="0.2">
      <c r="A59" s="1901"/>
      <c r="B59" s="1824"/>
      <c r="C59" s="239" t="str">
        <f>F!C172</f>
        <v>1-4% of the ponded water. Enter "1" and SKIP to F41 (Floating Algae &amp; Duckweed).</v>
      </c>
      <c r="D59" s="138">
        <f>F!D172</f>
        <v>0</v>
      </c>
      <c r="E59" s="203">
        <v>2</v>
      </c>
      <c r="F59" s="196">
        <f t="shared" si="2"/>
        <v>0</v>
      </c>
      <c r="G59" s="271"/>
      <c r="H59" s="1670"/>
      <c r="I59" s="1670"/>
    </row>
    <row r="60" spans="1:9" ht="15" customHeight="1" x14ac:dyDescent="0.2">
      <c r="A60" s="1901"/>
      <c r="B60" s="1824"/>
      <c r="C60" s="239" t="str">
        <f>F!C173</f>
        <v>5-30% of the ponded water.</v>
      </c>
      <c r="D60" s="898">
        <f>F!D173</f>
        <v>0</v>
      </c>
      <c r="E60" s="203">
        <v>5</v>
      </c>
      <c r="F60" s="196">
        <f t="shared" si="2"/>
        <v>0</v>
      </c>
      <c r="G60" s="271"/>
      <c r="H60" s="1670"/>
      <c r="I60" s="1670"/>
    </row>
    <row r="61" spans="1:9" ht="15" customHeight="1" x14ac:dyDescent="0.2">
      <c r="A61" s="1901"/>
      <c r="B61" s="1824"/>
      <c r="C61" s="239" t="str">
        <f>F!C174</f>
        <v>30-70% of the ponded water.</v>
      </c>
      <c r="D61" s="143">
        <f>F!D174</f>
        <v>0</v>
      </c>
      <c r="E61" s="203">
        <v>4</v>
      </c>
      <c r="F61" s="196">
        <f t="shared" si="2"/>
        <v>0</v>
      </c>
      <c r="G61" s="271"/>
      <c r="H61" s="1670"/>
      <c r="I61" s="1670"/>
    </row>
    <row r="62" spans="1:9" ht="15" customHeight="1" x14ac:dyDescent="0.2">
      <c r="A62" s="1901"/>
      <c r="B62" s="1824"/>
      <c r="C62" s="239" t="str">
        <f>F!C175</f>
        <v>70-99% of the ponded water.</v>
      </c>
      <c r="D62" s="143">
        <f>F!D175</f>
        <v>0</v>
      </c>
      <c r="E62" s="203">
        <v>3</v>
      </c>
      <c r="F62" s="196">
        <f t="shared" si="2"/>
        <v>0</v>
      </c>
      <c r="G62" s="271"/>
      <c r="H62" s="1670"/>
      <c r="I62" s="1670"/>
    </row>
    <row r="63" spans="1:9" ht="15" customHeight="1" thickBot="1" x14ac:dyDescent="0.25">
      <c r="A63" s="1902"/>
      <c r="B63" s="1835"/>
      <c r="C63" s="618" t="str">
        <f>F!C176</f>
        <v xml:space="preserve">100% of the ponded water. </v>
      </c>
      <c r="D63" s="139">
        <f>F!D176</f>
        <v>0</v>
      </c>
      <c r="E63" s="204">
        <v>1</v>
      </c>
      <c r="F63" s="349">
        <f t="shared" si="2"/>
        <v>0</v>
      </c>
      <c r="G63" s="261"/>
      <c r="H63" s="1671"/>
      <c r="I63" s="1671"/>
    </row>
    <row r="64" spans="1:9" ht="30" customHeight="1" thickBot="1" x14ac:dyDescent="0.25">
      <c r="A64" s="1926" t="str">
        <f>F!A177</f>
        <v>F34</v>
      </c>
      <c r="B64" s="1816" t="str">
        <f>F!B177</f>
        <v>Width of Vegetated Zone within Wetland</v>
      </c>
      <c r="C64" s="226" t="str">
        <f>F!C177</f>
        <v>At the time during the growing season when the AA's water level is lowest, the average width of vegetated area in the AA that separates adjoining uplands from open water within the AA is:</v>
      </c>
      <c r="D64" s="348"/>
      <c r="E64" s="351"/>
      <c r="F64" s="350"/>
      <c r="G64" s="262">
        <f>IF((AllSat1&gt;0),"",IF((NoOpenPonded=1),"",MAX(F65:F70)/MAX(E65:E70)))</f>
        <v>0</v>
      </c>
      <c r="H64" s="1669" t="s">
        <v>1184</v>
      </c>
      <c r="I64" s="1669" t="s">
        <v>365</v>
      </c>
    </row>
    <row r="65" spans="1:9" ht="15" customHeight="1" x14ac:dyDescent="0.2">
      <c r="A65" s="1919"/>
      <c r="B65" s="1790"/>
      <c r="C65" s="69" t="str">
        <f>F!C178</f>
        <v>&lt;1 m.</v>
      </c>
      <c r="D65" s="134">
        <f>F!D178</f>
        <v>0</v>
      </c>
      <c r="E65" s="196">
        <v>0</v>
      </c>
      <c r="F65" s="196">
        <f t="shared" ref="F65:F70" si="3">D65*E65</f>
        <v>0</v>
      </c>
      <c r="G65" s="276"/>
      <c r="H65" s="1670"/>
      <c r="I65" s="1670"/>
    </row>
    <row r="66" spans="1:9" ht="15" customHeight="1" x14ac:dyDescent="0.2">
      <c r="A66" s="1919"/>
      <c r="B66" s="1790"/>
      <c r="C66" s="69" t="str">
        <f>F!C179</f>
        <v>1 - 9 m.</v>
      </c>
      <c r="D66" s="134">
        <f>F!D179</f>
        <v>0</v>
      </c>
      <c r="E66" s="196">
        <v>2</v>
      </c>
      <c r="F66" s="196">
        <f t="shared" si="3"/>
        <v>0</v>
      </c>
      <c r="G66" s="264"/>
      <c r="H66" s="1670"/>
      <c r="I66" s="1670"/>
    </row>
    <row r="67" spans="1:9" ht="15" customHeight="1" x14ac:dyDescent="0.2">
      <c r="A67" s="1919"/>
      <c r="B67" s="1790"/>
      <c r="C67" s="69" t="str">
        <f>F!C180</f>
        <v>10 - 29 m.</v>
      </c>
      <c r="D67" s="134">
        <f>F!D180</f>
        <v>0</v>
      </c>
      <c r="E67" s="196">
        <v>3</v>
      </c>
      <c r="F67" s="196">
        <f t="shared" si="3"/>
        <v>0</v>
      </c>
      <c r="G67" s="264"/>
      <c r="H67" s="1670"/>
      <c r="I67" s="1670"/>
    </row>
    <row r="68" spans="1:9" ht="15" customHeight="1" x14ac:dyDescent="0.2">
      <c r="A68" s="1919"/>
      <c r="B68" s="1790"/>
      <c r="C68" s="69" t="str">
        <f>F!C181</f>
        <v>30 - 49 m.</v>
      </c>
      <c r="D68" s="134">
        <f>F!D181</f>
        <v>0</v>
      </c>
      <c r="E68" s="196">
        <v>4</v>
      </c>
      <c r="F68" s="196">
        <f t="shared" si="3"/>
        <v>0</v>
      </c>
      <c r="G68" s="264"/>
      <c r="H68" s="1670"/>
      <c r="I68" s="1670"/>
    </row>
    <row r="69" spans="1:9" ht="15" customHeight="1" x14ac:dyDescent="0.2">
      <c r="A69" s="1919"/>
      <c r="B69" s="1790"/>
      <c r="C69" s="69" t="str">
        <f>F!C182</f>
        <v>50 - 100 m.</v>
      </c>
      <c r="D69" s="134">
        <f>F!D182</f>
        <v>0</v>
      </c>
      <c r="E69" s="196">
        <v>5</v>
      </c>
      <c r="F69" s="196">
        <f t="shared" si="3"/>
        <v>0</v>
      </c>
      <c r="G69" s="264"/>
      <c r="H69" s="1670"/>
      <c r="I69" s="1670"/>
    </row>
    <row r="70" spans="1:9" ht="15" customHeight="1" thickBot="1" x14ac:dyDescent="0.25">
      <c r="A70" s="1924"/>
      <c r="B70" s="1791"/>
      <c r="C70" s="227" t="str">
        <f>F!C183</f>
        <v>&gt; 100 m, or open water is absent at that time.</v>
      </c>
      <c r="D70" s="171">
        <f>F!D183</f>
        <v>0</v>
      </c>
      <c r="E70" s="349">
        <v>7</v>
      </c>
      <c r="F70" s="349">
        <f t="shared" si="3"/>
        <v>0</v>
      </c>
      <c r="G70" s="266"/>
      <c r="H70" s="1671"/>
      <c r="I70" s="1671"/>
    </row>
    <row r="71" spans="1:9" ht="30" customHeight="1" thickBot="1" x14ac:dyDescent="0.25">
      <c r="A71" s="1823" t="str">
        <f>F!A195</f>
        <v>F37</v>
      </c>
      <c r="B71" s="1824" t="str">
        <f>F!B195</f>
        <v>Interspersion of Emergents &amp; Open Water</v>
      </c>
      <c r="C71" s="344" t="str">
        <f>F!C195</f>
        <v>During most of the part of the growing season when water is present, the spatial pattern of emergent vegetation within the water is mostly:</v>
      </c>
      <c r="D71" s="193"/>
      <c r="E71" s="186"/>
      <c r="F71" s="352"/>
      <c r="G71" s="268">
        <f>IF((AllSat1&gt;0),"",IF((NoPonded=1),"",IF((NoOpenPonded+NoOpenPonded1&gt;0),"",IF((AllOpenPond=1),"",IF((NoRobustEm=1),"",MAX(F72:F74)/MAX(E72:E74))))))</f>
        <v>0</v>
      </c>
      <c r="H71" s="1670" t="s">
        <v>1177</v>
      </c>
      <c r="I71" s="1669" t="s">
        <v>1008</v>
      </c>
    </row>
    <row r="72" spans="1:9" ht="15" customHeight="1" x14ac:dyDescent="0.2">
      <c r="A72" s="1823"/>
      <c r="B72" s="1824"/>
      <c r="C72" s="341" t="str">
        <f>F!C196</f>
        <v>Scattered. More than 30% of such vegetation forms small islands or corridors surrounded by water.</v>
      </c>
      <c r="D72" s="137">
        <f>F!D196</f>
        <v>0</v>
      </c>
      <c r="E72" s="187">
        <v>2</v>
      </c>
      <c r="F72" s="198">
        <f>D72*E72</f>
        <v>0</v>
      </c>
      <c r="G72" s="271"/>
      <c r="H72" s="1670"/>
      <c r="I72" s="1670"/>
    </row>
    <row r="73" spans="1:9" ht="15" customHeight="1" x14ac:dyDescent="0.2">
      <c r="A73" s="1823"/>
      <c r="B73" s="1824"/>
      <c r="C73" s="342" t="str">
        <f>F!C197</f>
        <v>Intermediate.</v>
      </c>
      <c r="D73" s="138">
        <f>F!D197</f>
        <v>0</v>
      </c>
      <c r="E73" s="187">
        <v>1</v>
      </c>
      <c r="F73" s="198">
        <f>D73*E73</f>
        <v>0</v>
      </c>
      <c r="G73" s="271"/>
      <c r="H73" s="1670"/>
      <c r="I73" s="1670"/>
    </row>
    <row r="74" spans="1:9" ht="27" customHeight="1" thickBot="1" x14ac:dyDescent="0.25">
      <c r="A74" s="1823"/>
      <c r="B74" s="1824"/>
      <c r="C74" s="375" t="str">
        <f>F!C198</f>
        <v>Clumped. More than 70% of such vegetation is in bands along the wetland perimeter or is clumped at one or a few sides of the surface water area.</v>
      </c>
      <c r="D74" s="143">
        <f>F!D198</f>
        <v>0</v>
      </c>
      <c r="E74" s="190">
        <v>0</v>
      </c>
      <c r="F74" s="198">
        <f>D74*E74</f>
        <v>0</v>
      </c>
      <c r="G74" s="257"/>
      <c r="H74" s="1670"/>
      <c r="I74" s="1671"/>
    </row>
    <row r="75" spans="1:9" ht="99" customHeight="1" thickBot="1" x14ac:dyDescent="0.25">
      <c r="A75" s="336" t="str">
        <f>F!A205</f>
        <v>F41</v>
      </c>
      <c r="B75" s="644" t="str">
        <f>F!B205</f>
        <v xml:space="preserve">Floating Algae &amp; Duckweed </v>
      </c>
      <c r="C75" s="669" t="str">
        <f>F!C205</f>
        <v>At some time of the year, mats of algae and/or duckweed are likely to cover &gt;50% of the AA's otherwise-unshaded water surface, or blanket &gt;50% of the underwater substrate. If true, enter "1" in next column. If untrue or uncertain, enter "0".</v>
      </c>
      <c r="D75" s="665">
        <f>F!D205</f>
        <v>0</v>
      </c>
      <c r="E75" s="666"/>
      <c r="F75" s="667"/>
      <c r="G75" s="668" t="str">
        <f>IF((AllSat1&gt;0),"",IF((D75=1),0,""))</f>
        <v/>
      </c>
      <c r="H75" s="3" t="s">
        <v>1497</v>
      </c>
      <c r="I75" s="3" t="s">
        <v>1009</v>
      </c>
    </row>
    <row r="76" spans="1:9" ht="60" customHeight="1" thickBot="1" x14ac:dyDescent="0.25">
      <c r="A76" s="1923" t="str">
        <f>F!A206</f>
        <v>F42</v>
      </c>
      <c r="B76" s="1816" t="str">
        <f>F!B206</f>
        <v>Channel Connection &amp; Outflow Duration</v>
      </c>
      <c r="C76" s="226" t="str">
        <f>F!C206</f>
        <v>The most persistent surface water connection (outlet channel or pipe, ditch, or overbank water exchange) between the AA and a downslope stream network is: [Note: If the AA represents only part of a wetland, answer this according to whichever is the least permanent surface connection: the one between the AA and the rest of the wetland, or the surface connection between the wetland and the downslope stream network.]</v>
      </c>
      <c r="D76" s="191"/>
      <c r="E76" s="351"/>
      <c r="F76" s="350"/>
      <c r="G76" s="253">
        <f>(MAX(F77:F81))/MAX(E77:E81)</f>
        <v>0</v>
      </c>
      <c r="H76" s="1669" t="s">
        <v>1191</v>
      </c>
      <c r="I76" s="1669" t="s">
        <v>366</v>
      </c>
    </row>
    <row r="77" spans="1:9" ht="15" customHeight="1" x14ac:dyDescent="0.2">
      <c r="A77" s="1919"/>
      <c r="B77" s="1790"/>
      <c r="C77" s="69" t="str">
        <f>F!C207</f>
        <v>Persistent (surface water flows out for &gt;9 months/year).</v>
      </c>
      <c r="D77" s="134">
        <f>F!D207</f>
        <v>0</v>
      </c>
      <c r="E77" s="196">
        <v>1</v>
      </c>
      <c r="F77" s="196">
        <f>D77*E77</f>
        <v>0</v>
      </c>
      <c r="G77" s="274"/>
      <c r="H77" s="1670"/>
      <c r="I77" s="1670"/>
    </row>
    <row r="78" spans="1:9" ht="15" customHeight="1" x14ac:dyDescent="0.2">
      <c r="A78" s="1919"/>
      <c r="B78" s="1790"/>
      <c r="C78" s="37" t="str">
        <f>F!C208</f>
        <v>Seasonal (surface water flows out for 14 days to 9 months/year, not necessarily consecutive).</v>
      </c>
      <c r="D78" s="122">
        <f>F!D208</f>
        <v>0</v>
      </c>
      <c r="E78" s="196">
        <v>2</v>
      </c>
      <c r="F78" s="196">
        <f>D78*E78</f>
        <v>0</v>
      </c>
      <c r="G78" s="271"/>
      <c r="H78" s="1670"/>
      <c r="I78" s="1670"/>
    </row>
    <row r="79" spans="1:9" ht="15" customHeight="1" x14ac:dyDescent="0.2">
      <c r="A79" s="1919"/>
      <c r="B79" s="1790"/>
      <c r="C79" s="37" t="str">
        <f>F!C209</f>
        <v>Temporary (surface water flows out for &lt;14 days, not necessarily consecutive).</v>
      </c>
      <c r="D79" s="122">
        <f>F!D209</f>
        <v>0</v>
      </c>
      <c r="E79" s="196">
        <v>3</v>
      </c>
      <c r="F79" s="196">
        <f>D79*E79</f>
        <v>0</v>
      </c>
      <c r="G79" s="271"/>
      <c r="H79" s="1670"/>
      <c r="I79" s="1670"/>
    </row>
    <row r="80" spans="1:9" ht="27" customHeight="1" x14ac:dyDescent="0.2">
      <c r="A80" s="1919"/>
      <c r="B80" s="1790"/>
      <c r="C80" s="37" t="str">
        <f>F!C210</f>
        <v>None -- but maps show a stream network downslope from the AA and within a distance that is less than the AA's length. SKIP to F47 (pH Measurement).</v>
      </c>
      <c r="D80" s="122">
        <f>F!D210</f>
        <v>0</v>
      </c>
      <c r="E80" s="355">
        <v>6</v>
      </c>
      <c r="F80" s="196">
        <f>D80*E80</f>
        <v>0</v>
      </c>
      <c r="G80" s="257"/>
      <c r="H80" s="1670"/>
      <c r="I80" s="1670"/>
    </row>
    <row r="81" spans="1:11" ht="27" customHeight="1" thickBot="1" x14ac:dyDescent="0.25">
      <c r="A81" s="1924"/>
      <c r="B81" s="1791"/>
      <c r="C81" s="233" t="str">
        <f>F!C211</f>
        <v>No surface water flows out of the wetland except possibly during extreme events (&lt;once per 10 years). Or, water flows only into a wetland, ditch, or lake that lacks an outlet. SKIP to F47 (pH Measurement).</v>
      </c>
      <c r="D81" s="123">
        <f>F!D211</f>
        <v>0</v>
      </c>
      <c r="E81" s="356">
        <v>6</v>
      </c>
      <c r="F81" s="349">
        <f>D81*E81</f>
        <v>0</v>
      </c>
      <c r="G81" s="261"/>
      <c r="H81" s="1671"/>
      <c r="I81" s="1671"/>
    </row>
    <row r="82" spans="1:11" ht="30" customHeight="1" thickBot="1" x14ac:dyDescent="0.25">
      <c r="A82" s="1814" t="str">
        <f>F!A212</f>
        <v>F43</v>
      </c>
      <c r="B82" s="1790" t="str">
        <f>F!B212</f>
        <v xml:space="preserve">Outflow Confinement </v>
      </c>
      <c r="C82" s="339" t="str">
        <f>F!C212</f>
        <v>During major runoff events, in the places where surface water exits the AA or connected waters nearby, the water:</v>
      </c>
      <c r="D82" s="193"/>
      <c r="E82" s="352"/>
      <c r="F82" s="194"/>
      <c r="G82" s="268">
        <f>IF((OutNone + OutNone1&gt;0),"",(MAX(F83:F85)/MAX(E83:E85)))</f>
        <v>0</v>
      </c>
      <c r="H82" s="1696" t="s">
        <v>602</v>
      </c>
      <c r="I82" s="1669" t="s">
        <v>367</v>
      </c>
    </row>
    <row r="83" spans="1:11" ht="42" customHeight="1" x14ac:dyDescent="0.2">
      <c r="A83" s="1814"/>
      <c r="B83" s="1790"/>
      <c r="C83" s="69" t="str">
        <f>F!C213</f>
        <v>Mostly passes through a pipe, culvert, narrowly breached dike, berm, beaver dam, or other partial obstruction (other than natural topography) that does not appear to drain the wetland artificially during most of the growing season.</v>
      </c>
      <c r="D83" s="134">
        <f>F!D213</f>
        <v>0</v>
      </c>
      <c r="E83" s="196">
        <v>2</v>
      </c>
      <c r="F83" s="196">
        <f>D83*E83</f>
        <v>0</v>
      </c>
      <c r="G83" s="274"/>
      <c r="H83" s="1696"/>
      <c r="I83" s="1670"/>
    </row>
    <row r="84" spans="1:11" ht="27" customHeight="1" x14ac:dyDescent="0.2">
      <c r="A84" s="1814"/>
      <c r="B84" s="1790"/>
      <c r="C84" s="37" t="str">
        <f>F!C214</f>
        <v>Leaves through natural exits (channels or diffuse outflow), not mainly through artificial or temporary features.</v>
      </c>
      <c r="D84" s="122">
        <f>F!D214</f>
        <v>0</v>
      </c>
      <c r="E84" s="196">
        <v>1</v>
      </c>
      <c r="F84" s="196">
        <f>D84*E84</f>
        <v>0</v>
      </c>
      <c r="G84" s="256"/>
      <c r="H84" s="1696"/>
      <c r="I84" s="1670"/>
    </row>
    <row r="85" spans="1:11" ht="27" customHeight="1" thickBot="1" x14ac:dyDescent="0.25">
      <c r="A85" s="1815"/>
      <c r="B85" s="1791"/>
      <c r="C85" s="233" t="str">
        <f>F!C215</f>
        <v>Is exported more quickly than usual due to ditches or pipes within the AA or connected to its outlet, or within 10 m of the AA's edge, which drain the wetland artificially, or water is pumped out of the AA.</v>
      </c>
      <c r="D85" s="123">
        <f>F!D215</f>
        <v>0</v>
      </c>
      <c r="E85" s="349">
        <v>0</v>
      </c>
      <c r="F85" s="349">
        <f>D85*E85</f>
        <v>0</v>
      </c>
      <c r="G85" s="261"/>
      <c r="H85" s="1712"/>
      <c r="I85" s="1671"/>
    </row>
    <row r="86" spans="1:11" ht="33" customHeight="1" thickBot="1" x14ac:dyDescent="0.25">
      <c r="A86" s="1919" t="str">
        <f>F!A218</f>
        <v>F46</v>
      </c>
      <c r="B86" s="1790" t="str">
        <f>F!B218</f>
        <v>Throughflow Resistance</v>
      </c>
      <c r="C86" s="339" t="str">
        <f>F!C218</f>
        <v>During its travel through the AA at the time of peak annual flow, water arriving in channels: [select only the ONE encountered by most of the incoming water].</v>
      </c>
      <c r="D86" s="193"/>
      <c r="E86" s="352"/>
      <c r="F86" s="194"/>
      <c r="G86" s="268">
        <f>IF(AND(Inflows=0,OutNone=1,OutNone1=1),"",MAX(F87:F91)/MAX(E87:E91))</f>
        <v>0</v>
      </c>
      <c r="H86" s="1696" t="s">
        <v>1178</v>
      </c>
      <c r="I86" s="1669" t="s">
        <v>368</v>
      </c>
    </row>
    <row r="87" spans="1:11" ht="42" customHeight="1" x14ac:dyDescent="0.2">
      <c r="A87" s="1919"/>
      <c r="B87" s="1790"/>
      <c r="C87" s="69" t="str">
        <f>F!C219</f>
        <v>Does not bump into many plant stems as it travels through the AA. Nearly all the water continues to travel in unvegetated (often incised) channels that have minimal contact with wetland vegetation, or through a zone of open water such as an instream pond or lake.</v>
      </c>
      <c r="D87" s="134">
        <f>F!D219</f>
        <v>0</v>
      </c>
      <c r="E87" s="196">
        <v>0</v>
      </c>
      <c r="F87" s="196">
        <f>D87*E87</f>
        <v>0</v>
      </c>
      <c r="G87" s="274"/>
      <c r="H87" s="1696"/>
      <c r="I87" s="1670"/>
    </row>
    <row r="88" spans="1:11" ht="18" customHeight="1" x14ac:dyDescent="0.2">
      <c r="A88" s="1919"/>
      <c r="B88" s="1790"/>
      <c r="C88" s="37" t="str">
        <f>F!C220</f>
        <v>Bumps into herbaceous vegetation but mostly remains in fairly straight channels.</v>
      </c>
      <c r="D88" s="122">
        <f>F!D220</f>
        <v>0</v>
      </c>
      <c r="E88" s="196">
        <v>1</v>
      </c>
      <c r="F88" s="196">
        <f>D88*E88</f>
        <v>0</v>
      </c>
      <c r="G88" s="271"/>
      <c r="H88" s="1696"/>
      <c r="I88" s="1670"/>
    </row>
    <row r="89" spans="1:11" ht="30" customHeight="1" x14ac:dyDescent="0.2">
      <c r="A89" s="1919"/>
      <c r="B89" s="1790"/>
      <c r="C89" s="37" t="str">
        <f>F!C221</f>
        <v>Bumps into herbaceous vegetation and mostly spreads throughout, or is in widely meandering, multi-branched, or braided channels.</v>
      </c>
      <c r="D89" s="122">
        <f>F!D221</f>
        <v>0</v>
      </c>
      <c r="E89" s="196">
        <v>2</v>
      </c>
      <c r="F89" s="196">
        <f>D89*E89</f>
        <v>0</v>
      </c>
      <c r="G89" s="271"/>
      <c r="H89" s="1696"/>
      <c r="I89" s="1670"/>
    </row>
    <row r="90" spans="1:11" ht="18" customHeight="1" x14ac:dyDescent="0.2">
      <c r="A90" s="1919"/>
      <c r="B90" s="1790"/>
      <c r="C90" s="37" t="str">
        <f>F!C222</f>
        <v>Bumps into tree trunks and/or shrub stems but mostly remains in fairly straight channels.</v>
      </c>
      <c r="D90" s="122">
        <f>F!D222</f>
        <v>0</v>
      </c>
      <c r="E90" s="196">
        <v>3</v>
      </c>
      <c r="F90" s="196">
        <f>D90*E90</f>
        <v>0</v>
      </c>
      <c r="G90" s="271"/>
      <c r="H90" s="1696"/>
      <c r="I90" s="1670"/>
    </row>
    <row r="91" spans="1:11" ht="30" customHeight="1" thickBot="1" x14ac:dyDescent="0.25">
      <c r="A91" s="1924"/>
      <c r="B91" s="1791"/>
      <c r="C91" s="233" t="str">
        <f>F!C223</f>
        <v>Bumps into tree trunks and/or shrub stems and follows a fairly indirect path from entrance to exit (meandering, multi-branched, or braided).</v>
      </c>
      <c r="D91" s="123">
        <f>F!D223</f>
        <v>0</v>
      </c>
      <c r="E91" s="349">
        <v>4</v>
      </c>
      <c r="F91" s="349">
        <f>D91*E91</f>
        <v>0</v>
      </c>
      <c r="G91" s="261"/>
      <c r="H91" s="1712"/>
      <c r="I91" s="1671"/>
    </row>
    <row r="92" spans="1:11" s="2" customFormat="1" ht="24" customHeight="1" thickBot="1" x14ac:dyDescent="0.25">
      <c r="A92" s="1721" t="str">
        <f>F!A224</f>
        <v>F47</v>
      </c>
      <c r="B92" s="1669" t="str">
        <f>F!B224</f>
        <v>pH Measurement</v>
      </c>
      <c r="C92" s="36" t="str">
        <f>F!C224</f>
        <v>The pH in most of the AA's surface water:</v>
      </c>
      <c r="D92" s="752"/>
      <c r="E92" s="191"/>
      <c r="F92" s="192"/>
      <c r="G92" s="400">
        <f>IF((D95=1),"",IF((D94=1),0.5,IF((D93&gt;0&lt;5),1, IF((D93&gt;9),1, ""))))</f>
        <v>1</v>
      </c>
      <c r="H92" s="1856" t="s">
        <v>1708</v>
      </c>
      <c r="I92" s="1669" t="s">
        <v>1131</v>
      </c>
      <c r="K92" s="56"/>
    </row>
    <row r="93" spans="1:11" s="2" customFormat="1" ht="21" customHeight="1" thickBot="1" x14ac:dyDescent="0.25">
      <c r="A93" s="1703"/>
      <c r="B93" s="1670"/>
      <c r="C93" s="51" t="str">
        <f>F!C225</f>
        <v>Was measured, and is:  [enter the reading in the column to the right.]</v>
      </c>
      <c r="D93" s="1422" t="str">
        <f>IF((F!D225=""),"",F!D225)</f>
        <v/>
      </c>
      <c r="E93" s="203"/>
      <c r="F93" s="187"/>
      <c r="G93" s="671"/>
      <c r="H93" s="1925"/>
      <c r="I93" s="1670"/>
      <c r="K93" s="56"/>
    </row>
    <row r="94" spans="1:11" s="2" customFormat="1" ht="39" customHeight="1" x14ac:dyDescent="0.2">
      <c r="A94" s="1703"/>
      <c r="B94" s="1670"/>
      <c r="C94" s="413" t="str">
        <f>F!C226</f>
        <v xml:space="preserve">Was not measured but surface water is present and is darkly tea-coloured.  Or if no surface water, then mosses and plants that indicate peatland (e.g., Labrador tea) are prevalent. Enter "1". </v>
      </c>
      <c r="D94" s="129">
        <f>F!D226</f>
        <v>0</v>
      </c>
      <c r="E94" s="203"/>
      <c r="F94" s="187"/>
      <c r="G94" s="449"/>
      <c r="H94" s="1925"/>
      <c r="I94" s="1670"/>
      <c r="K94" s="56"/>
    </row>
    <row r="95" spans="1:11" s="2" customFormat="1" ht="21" customHeight="1" thickBot="1" x14ac:dyDescent="0.25">
      <c r="A95" s="1703"/>
      <c r="B95" s="1703"/>
      <c r="C95" s="1367" t="str">
        <f>F!C227</f>
        <v>Neither of above. Enter "1".</v>
      </c>
      <c r="D95" s="128">
        <f>F!D227</f>
        <v>0</v>
      </c>
      <c r="E95" s="321"/>
      <c r="F95" s="190"/>
      <c r="G95" s="670"/>
      <c r="H95" s="1925"/>
      <c r="I95" s="1671"/>
      <c r="K95" s="56"/>
    </row>
    <row r="96" spans="1:11" s="2" customFormat="1" ht="21" customHeight="1" thickBot="1" x14ac:dyDescent="0.25">
      <c r="A96" s="1669" t="str">
        <f>F!A241</f>
        <v>F51</v>
      </c>
      <c r="B96" s="1669" t="str">
        <f>F!B241</f>
        <v>Internal Gradient</v>
      </c>
      <c r="C96" s="240" t="str">
        <f>F!C241</f>
        <v>The gradient along most of the flow path within the AA is:</v>
      </c>
      <c r="D96" s="110"/>
      <c r="E96" s="191"/>
      <c r="F96" s="192"/>
      <c r="G96" s="400">
        <f>MAX(F97:F100)/MAX(E97:E100)</f>
        <v>0</v>
      </c>
      <c r="H96" s="1693" t="s">
        <v>601</v>
      </c>
      <c r="I96" s="1669" t="s">
        <v>372</v>
      </c>
      <c r="K96" s="56"/>
    </row>
    <row r="97" spans="1:11" s="2" customFormat="1" ht="15" customHeight="1" x14ac:dyDescent="0.2">
      <c r="A97" s="1670"/>
      <c r="B97" s="1670"/>
      <c r="C97" s="14" t="str">
        <f>F!C242</f>
        <v>&lt;2% or the AA has no surface water outlet (not even seasonally).</v>
      </c>
      <c r="D97" s="33">
        <f>F!D242</f>
        <v>0</v>
      </c>
      <c r="E97" s="187">
        <v>4</v>
      </c>
      <c r="F97" s="187">
        <f>D97*E97</f>
        <v>0</v>
      </c>
      <c r="G97" s="461"/>
      <c r="H97" s="1696"/>
      <c r="I97" s="1670"/>
      <c r="K97" s="56"/>
    </row>
    <row r="98" spans="1:11" s="2" customFormat="1" ht="15" customHeight="1" x14ac:dyDescent="0.2">
      <c r="A98" s="1670"/>
      <c r="B98" s="1670"/>
      <c r="C98" s="4" t="str">
        <f>F!C243</f>
        <v>2-5%.</v>
      </c>
      <c r="D98" s="33">
        <f>F!D243</f>
        <v>0</v>
      </c>
      <c r="E98" s="187">
        <v>3</v>
      </c>
      <c r="F98" s="187">
        <f>D98*E98</f>
        <v>0</v>
      </c>
      <c r="G98" s="461"/>
      <c r="H98" s="1696"/>
      <c r="I98" s="1670"/>
      <c r="K98" s="56"/>
    </row>
    <row r="99" spans="1:11" s="2" customFormat="1" ht="15" customHeight="1" x14ac:dyDescent="0.2">
      <c r="A99" s="1670"/>
      <c r="B99" s="1670"/>
      <c r="C99" s="4" t="str">
        <f>F!C244</f>
        <v>6-10%.</v>
      </c>
      <c r="D99" s="33">
        <f>F!D244</f>
        <v>0</v>
      </c>
      <c r="E99" s="187">
        <v>2</v>
      </c>
      <c r="F99" s="187">
        <f>D99*E99</f>
        <v>0</v>
      </c>
      <c r="G99" s="462"/>
      <c r="H99" s="1696"/>
      <c r="I99" s="1670"/>
      <c r="K99" s="56"/>
    </row>
    <row r="100" spans="1:11" s="2" customFormat="1" ht="15" customHeight="1" thickBot="1" x14ac:dyDescent="0.25">
      <c r="A100" s="1671"/>
      <c r="B100" s="1671"/>
      <c r="C100" s="85" t="str">
        <f>F!C245</f>
        <v>&gt;10%.</v>
      </c>
      <c r="D100" s="84">
        <f>F!D245</f>
        <v>0</v>
      </c>
      <c r="E100" s="188">
        <v>0</v>
      </c>
      <c r="F100" s="188">
        <f>D100*E100</f>
        <v>0</v>
      </c>
      <c r="G100" s="463"/>
      <c r="H100" s="1712"/>
      <c r="I100" s="1671"/>
      <c r="K100" s="56"/>
    </row>
    <row r="101" spans="1:11" ht="60" customHeight="1" thickBot="1" x14ac:dyDescent="0.25">
      <c r="A101" s="60" t="str">
        <f>F!A307</f>
        <v>F66</v>
      </c>
      <c r="B101" s="60" t="str">
        <f>F!B307</f>
        <v>Calcareous Fen</v>
      </c>
      <c r="C101" s="336" t="str">
        <f>F!C307</f>
        <v xml:space="preserve">The AA is, or is part of, a calcareous fen. See the Plants_Calcar worksheet in the accompanying SuppInfo file for list of plant indicators (calciphiles). Enter 1 If more than two Strong or more than five Moderate calciphile species are present; otherwise enter 0, but if not able to identify those and no information, change to blank. </v>
      </c>
      <c r="D101" s="140">
        <f>F!D307</f>
        <v>0</v>
      </c>
      <c r="E101" s="354"/>
      <c r="F101" s="354"/>
      <c r="G101" s="262" t="str">
        <f>IF((F!D307=""),"", IF((D101=1),1,0))</f>
        <v/>
      </c>
      <c r="H101" s="3" t="s">
        <v>1496</v>
      </c>
      <c r="I101" s="36" t="s">
        <v>1494</v>
      </c>
    </row>
    <row r="102" spans="1:11" s="56" customFormat="1" ht="36" customHeight="1" thickBot="1" x14ac:dyDescent="0.25">
      <c r="A102" s="871" t="s">
        <v>88</v>
      </c>
      <c r="B102" s="872" t="s">
        <v>2432</v>
      </c>
      <c r="C102" s="873" t="s">
        <v>1164</v>
      </c>
      <c r="D102" s="874" t="s">
        <v>45</v>
      </c>
      <c r="E102" s="875" t="s">
        <v>1188</v>
      </c>
      <c r="F102" s="876" t="s">
        <v>1189</v>
      </c>
      <c r="G102" s="855" t="s">
        <v>2559</v>
      </c>
      <c r="H102" s="850" t="s">
        <v>1117</v>
      </c>
      <c r="I102" s="850" t="s">
        <v>2427</v>
      </c>
    </row>
    <row r="103" spans="1:11" ht="45" customHeight="1" thickBot="1" x14ac:dyDescent="0.25">
      <c r="A103" s="1816" t="str">
        <f>OF!A99</f>
        <v>OF20</v>
      </c>
      <c r="B103" s="1816" t="str">
        <f>OF!B99</f>
        <v xml:space="preserve">Degraded Water Upstream </v>
      </c>
      <c r="C103" s="60" t="str">
        <f>OF!C99</f>
        <v xml:space="preserve">Sampling indicates a problem with concentrations of metals, hydrocarbons, nutrients, or other substances (excluding bacteria, acidic water, high temperatures) being present at levels harmful to aquatic life or humans, and:  </v>
      </c>
      <c r="D103" s="896"/>
      <c r="E103" s="351"/>
      <c r="F103" s="350"/>
      <c r="G103" s="282">
        <f>IF((D107=1),"", IF((D106=1),0, IF((D105=1),0.5, 1)))</f>
        <v>1</v>
      </c>
      <c r="H103" s="1669" t="s">
        <v>1540</v>
      </c>
      <c r="I103" s="1669" t="s">
        <v>1543</v>
      </c>
    </row>
    <row r="104" spans="1:11" ht="15" customHeight="1" x14ac:dyDescent="0.2">
      <c r="A104" s="1790"/>
      <c r="B104" s="1790"/>
      <c r="C104" s="230" t="str">
        <f>OF!C100</f>
        <v>The condition is present within the AA.</v>
      </c>
      <c r="D104" s="122">
        <f>OF!D100</f>
        <v>0</v>
      </c>
      <c r="E104" s="196"/>
      <c r="F104" s="196"/>
      <c r="G104" s="196"/>
      <c r="H104" s="1670"/>
      <c r="I104" s="1670"/>
    </row>
    <row r="105" spans="1:11" ht="27" customHeight="1" x14ac:dyDescent="0.2">
      <c r="A105" s="1790"/>
      <c r="B105" s="1790"/>
      <c r="C105" s="230" t="str">
        <f>OF!C101</f>
        <v>The condition is present in waters within 1 km that flow into the AA, but has not been documented in the AA itself.</v>
      </c>
      <c r="D105" s="122">
        <f>OF!D101</f>
        <v>0</v>
      </c>
      <c r="E105" s="196"/>
      <c r="F105" s="196"/>
      <c r="G105" s="196"/>
      <c r="H105" s="1670"/>
      <c r="I105" s="1670"/>
    </row>
    <row r="106" spans="1:11" ht="27" customHeight="1" x14ac:dyDescent="0.2">
      <c r="A106" s="1790"/>
      <c r="B106" s="1790"/>
      <c r="C106" s="230" t="str">
        <f>OF!C102</f>
        <v>Sampling during both low water periods and times with high runoff (storms, snowmelt) indicates no problems in either the AA or inflowing waters.</v>
      </c>
      <c r="D106" s="122">
        <f>OF!D102</f>
        <v>0</v>
      </c>
      <c r="E106" s="196"/>
      <c r="F106" s="196"/>
      <c r="G106" s="196"/>
      <c r="H106" s="1670"/>
      <c r="I106" s="1670"/>
    </row>
    <row r="107" spans="1:11" ht="27" customHeight="1" thickBot="1" x14ac:dyDescent="0.25">
      <c r="A107" s="1791"/>
      <c r="B107" s="1791"/>
      <c r="C107" s="230" t="str">
        <f>OF!C103</f>
        <v>Data are insufficient (no or inadequate sampling within 1 km, or condition exists only at &gt;1 km upstream). This is the situation for nearly all wetlands in this region.</v>
      </c>
      <c r="D107" s="123">
        <f>OF!D103</f>
        <v>0</v>
      </c>
      <c r="E107" s="349"/>
      <c r="F107" s="349"/>
      <c r="G107" s="196"/>
      <c r="H107" s="1671"/>
      <c r="I107" s="1671"/>
    </row>
    <row r="108" spans="1:11" ht="21" customHeight="1" thickBot="1" x14ac:dyDescent="0.25">
      <c r="A108" s="1816" t="str">
        <f>OF!A104</f>
        <v>OF21</v>
      </c>
      <c r="B108" s="1816" t="str">
        <f>OF!B104</f>
        <v xml:space="preserve">Degraded Water Downstream </v>
      </c>
      <c r="C108" s="60" t="str">
        <f>OF!C104</f>
        <v>The problem described above is downslope from the AA, and:</v>
      </c>
      <c r="D108" s="896"/>
      <c r="E108" s="351"/>
      <c r="F108" s="350"/>
      <c r="G108" s="452">
        <f>IF((D112=1),"", IF((D111=1),0, IF((D110=1),0.5, 1)))</f>
        <v>1</v>
      </c>
      <c r="H108" s="1669" t="s">
        <v>87</v>
      </c>
      <c r="I108" s="1669" t="s">
        <v>1542</v>
      </c>
    </row>
    <row r="109" spans="1:11" ht="20.25" customHeight="1" x14ac:dyDescent="0.2">
      <c r="A109" s="1790"/>
      <c r="B109" s="1790"/>
      <c r="C109" s="897" t="str">
        <f>OF!C105</f>
        <v>The condition is present within 1 km downslope and connected to the AA by a channel.</v>
      </c>
      <c r="D109" s="122">
        <f>OF!D105</f>
        <v>0</v>
      </c>
      <c r="E109" s="196"/>
      <c r="F109" s="196"/>
      <c r="G109" s="352"/>
      <c r="H109" s="1670"/>
      <c r="I109" s="1670"/>
    </row>
    <row r="110" spans="1:11" ht="27" customHeight="1" x14ac:dyDescent="0.2">
      <c r="A110" s="1790"/>
      <c r="B110" s="1790"/>
      <c r="C110" s="897" t="str">
        <f>OF!C106</f>
        <v>The condition is present within 5 km downslope and connected to the AA by a channel, or within 1 km but not connected to the AA by a channel.</v>
      </c>
      <c r="D110" s="122">
        <f>OF!D106</f>
        <v>0</v>
      </c>
      <c r="E110" s="196"/>
      <c r="F110" s="196"/>
      <c r="G110" s="196"/>
      <c r="H110" s="1670"/>
      <c r="I110" s="1670"/>
    </row>
    <row r="111" spans="1:11" ht="27" customHeight="1" x14ac:dyDescent="0.2">
      <c r="A111" s="1790"/>
      <c r="B111" s="1790"/>
      <c r="C111" s="897" t="str">
        <f>OF!C107</f>
        <v>Sampling during both low water periods and times with high runoff (storms, snowmelt) indicates no problems in either the AA or inflowing waters.</v>
      </c>
      <c r="D111" s="122">
        <f>OF!D107</f>
        <v>0</v>
      </c>
      <c r="E111" s="196"/>
      <c r="F111" s="196"/>
      <c r="G111" s="196"/>
      <c r="H111" s="1670"/>
      <c r="I111" s="1670"/>
    </row>
    <row r="112" spans="1:11" ht="27" customHeight="1" thickBot="1" x14ac:dyDescent="0.25">
      <c r="A112" s="1790"/>
      <c r="B112" s="1790"/>
      <c r="C112" s="1350" t="str">
        <f>OF!C108</f>
        <v>Data are insufficient (no or inadequate sampling within 1 km, or condition exists only at &gt;1 km upstream). This is the situation for nearly all wetlands in this region.</v>
      </c>
      <c r="D112" s="136">
        <f>OF!D108</f>
        <v>0</v>
      </c>
      <c r="E112" s="198"/>
      <c r="F112" s="198"/>
      <c r="G112" s="198"/>
      <c r="H112" s="1670"/>
      <c r="I112" s="1671"/>
    </row>
    <row r="113" spans="1:11" ht="87" customHeight="1" thickBot="1" x14ac:dyDescent="0.25">
      <c r="A113" s="1923" t="str">
        <f>OF!A109</f>
        <v>OF22</v>
      </c>
      <c r="B113" s="1816" t="str">
        <f>OF!B109</f>
        <v>Wetland as a % of Its Contributing Area (Catchment)</v>
      </c>
      <c r="C113" s="226" t="str">
        <f>OF!C109</f>
        <v>From a topographic map and field observations, estimate the approximate boundaries of the catchment (CA) of the entire wetland of which the AA may be only a part. Then adjust those boundaries if necessary based on your field observations of the surrounding terrain, and/or by using procedures described in the Manual.  Divide the area of the wetland (not just the AA) by the approximate area of its catchment excluding the area of the wetland itself.  When doing the calculation, if ponded water is adjacent to the wetland, include that in the wetland's area.  The result is:</v>
      </c>
      <c r="D113" s="348"/>
      <c r="E113" s="351"/>
      <c r="F113" s="350"/>
      <c r="G113" s="347">
        <f>(MAX(F114:F117))/MAX(E114:E117)</f>
        <v>0</v>
      </c>
      <c r="H113" s="1693" t="s">
        <v>1179</v>
      </c>
      <c r="I113" s="1669" t="s">
        <v>378</v>
      </c>
    </row>
    <row r="114" spans="1:11" ht="15" customHeight="1" x14ac:dyDescent="0.2">
      <c r="A114" s="1919"/>
      <c r="B114" s="1790"/>
      <c r="C114" s="69" t="str">
        <f>OF!C110</f>
        <v>&lt;0.01, or catchment size unknown due to stormwater pipes that collect water from an indeterminate area.</v>
      </c>
      <c r="D114" s="134">
        <f>OF!D110</f>
        <v>0</v>
      </c>
      <c r="E114" s="196">
        <v>3</v>
      </c>
      <c r="F114" s="196">
        <f t="shared" ref="F114:F125" si="4">D114*E114</f>
        <v>0</v>
      </c>
      <c r="G114" s="274"/>
      <c r="H114" s="1696"/>
      <c r="I114" s="1670"/>
    </row>
    <row r="115" spans="1:11" ht="15" customHeight="1" x14ac:dyDescent="0.2">
      <c r="A115" s="1919"/>
      <c r="B115" s="1790"/>
      <c r="C115" s="69" t="str">
        <f>OF!C111</f>
        <v>0.01 to 0.1.</v>
      </c>
      <c r="D115" s="122">
        <f>OF!D111</f>
        <v>0</v>
      </c>
      <c r="E115" s="196">
        <v>2</v>
      </c>
      <c r="F115" s="196">
        <f t="shared" si="4"/>
        <v>0</v>
      </c>
      <c r="G115" s="271"/>
      <c r="H115" s="1696"/>
      <c r="I115" s="1670"/>
    </row>
    <row r="116" spans="1:11" ht="15" customHeight="1" x14ac:dyDescent="0.2">
      <c r="A116" s="1919"/>
      <c r="B116" s="1790"/>
      <c r="C116" s="69" t="str">
        <f>OF!C112</f>
        <v>0.1 to 1.</v>
      </c>
      <c r="D116" s="122">
        <f>OF!D112</f>
        <v>0</v>
      </c>
      <c r="E116" s="196">
        <v>1</v>
      </c>
      <c r="F116" s="196">
        <f t="shared" si="4"/>
        <v>0</v>
      </c>
      <c r="G116" s="271"/>
      <c r="H116" s="1696"/>
      <c r="I116" s="1670"/>
    </row>
    <row r="117" spans="1:11" ht="27" customHeight="1" thickBot="1" x14ac:dyDescent="0.25">
      <c r="A117" s="1924"/>
      <c r="B117" s="1791"/>
      <c r="C117" s="227" t="str">
        <f>OF!C113</f>
        <v xml:space="preserve">&gt;1 (wetland is larger than its catchment (e.g., wetland with flat surrounding terrain and no inlet, or is entirely isolated by dikes, or is a raised bog). </v>
      </c>
      <c r="D117" s="123">
        <f>OF!D113</f>
        <v>0</v>
      </c>
      <c r="E117" s="349">
        <v>0</v>
      </c>
      <c r="F117" s="349">
        <f t="shared" si="4"/>
        <v>0</v>
      </c>
      <c r="G117" s="261"/>
      <c r="H117" s="1712"/>
      <c r="I117" s="1671"/>
    </row>
    <row r="118" spans="1:11" ht="57" customHeight="1" thickBot="1" x14ac:dyDescent="0.25">
      <c r="A118" s="1923" t="str">
        <f>OF!A114</f>
        <v>OF23</v>
      </c>
      <c r="B118" s="1816" t="str">
        <f>OF!B114</f>
        <v>Unvegetated Surface in the Contributing Area</v>
      </c>
      <c r="C118" s="226" t="str">
        <f>OF!C114</f>
        <v>The proportion of the AA's contributing area (measured to no more than 1000 m upslope) that is comprised of buildings, roads, parking lots, other pavement, exposed bedrock, landslides, and other mostly-bare surface is about :</v>
      </c>
      <c r="D118" s="348"/>
      <c r="E118" s="351"/>
      <c r="F118" s="350"/>
      <c r="G118" s="347">
        <f>IF((NoCA=1),"",(MAX(F119:F121))/MAX(E119:E121))</f>
        <v>0</v>
      </c>
      <c r="H118" s="1693" t="s">
        <v>1180</v>
      </c>
      <c r="I118" s="1669" t="s">
        <v>379</v>
      </c>
    </row>
    <row r="119" spans="1:11" ht="27.6" customHeight="1" x14ac:dyDescent="0.2">
      <c r="A119" s="1919"/>
      <c r="B119" s="1790"/>
      <c r="C119" s="1329" t="str">
        <f>OF!C115</f>
        <v>&lt;10%.</v>
      </c>
      <c r="D119" s="134">
        <f>OF!D115</f>
        <v>0</v>
      </c>
      <c r="E119" s="196">
        <v>0</v>
      </c>
      <c r="F119" s="196">
        <f t="shared" si="4"/>
        <v>0</v>
      </c>
      <c r="G119" s="274"/>
      <c r="H119" s="1696"/>
      <c r="I119" s="1670"/>
    </row>
    <row r="120" spans="1:11" ht="27.6" customHeight="1" x14ac:dyDescent="0.2">
      <c r="A120" s="1919"/>
      <c r="B120" s="1790"/>
      <c r="C120" s="1330" t="str">
        <f>OF!C116</f>
        <v>10 to 25%.</v>
      </c>
      <c r="D120" s="122">
        <f>OF!D116</f>
        <v>0</v>
      </c>
      <c r="E120" s="196">
        <v>1</v>
      </c>
      <c r="F120" s="196">
        <f t="shared" si="4"/>
        <v>0</v>
      </c>
      <c r="G120" s="271"/>
      <c r="H120" s="1696"/>
      <c r="I120" s="1670"/>
    </row>
    <row r="121" spans="1:11" ht="27.6" customHeight="1" thickBot="1" x14ac:dyDescent="0.25">
      <c r="A121" s="1924"/>
      <c r="B121" s="1791"/>
      <c r="C121" s="1333" t="str">
        <f>OF!C117</f>
        <v>&gt;25%.</v>
      </c>
      <c r="D121" s="123">
        <f>OF!D117</f>
        <v>0</v>
      </c>
      <c r="E121" s="349">
        <v>2</v>
      </c>
      <c r="F121" s="349">
        <f t="shared" si="4"/>
        <v>0</v>
      </c>
      <c r="G121" s="261"/>
      <c r="H121" s="1712"/>
      <c r="I121" s="1671"/>
    </row>
    <row r="122" spans="1:11" ht="126" customHeight="1" thickBot="1" x14ac:dyDescent="0.25">
      <c r="A122" s="1919" t="str">
        <f>OF!A118</f>
        <v>OF24</v>
      </c>
      <c r="B122" s="1790" t="str">
        <f>OF!B118</f>
        <v>Transport From Upslope</v>
      </c>
      <c r="C122" s="339" t="str">
        <f>OF!C118</f>
        <v>A relatively large proportion of the precipitation that falls farther upslope in the CA reaches this wetland quickly as runoff (surface water), as indicated by the following: 
(a) input channel is present,
(b) input channels have been straightened,
(c) upslope wetlands have been ditched extensively,
(d) land cover is mostly non-forest,
(e) CA slopes are steep, and/or
(f) most CA soils are shallow (bedrock near surface) and/or have high runoff coefficients. 
This statement is:</v>
      </c>
      <c r="D122" s="193"/>
      <c r="E122" s="352"/>
      <c r="F122" s="194"/>
      <c r="G122" s="357">
        <f>IF((NoCA=1),"", (MAX(F123:F125))/MAX(E123:E125))</f>
        <v>0</v>
      </c>
      <c r="H122" s="1696" t="s">
        <v>1818</v>
      </c>
      <c r="I122" s="1669" t="s">
        <v>380</v>
      </c>
    </row>
    <row r="123" spans="1:11" ht="15" customHeight="1" x14ac:dyDescent="0.2">
      <c r="A123" s="1919"/>
      <c r="B123" s="1790"/>
      <c r="C123" s="1329" t="str">
        <f>OF!C119</f>
        <v>Mostly true.</v>
      </c>
      <c r="D123" s="134">
        <f>OF!D119</f>
        <v>0</v>
      </c>
      <c r="E123" s="196">
        <v>2</v>
      </c>
      <c r="F123" s="196">
        <f t="shared" si="4"/>
        <v>0</v>
      </c>
      <c r="G123" s="274"/>
      <c r="H123" s="1696"/>
      <c r="I123" s="1670"/>
    </row>
    <row r="124" spans="1:11" ht="15" customHeight="1" x14ac:dyDescent="0.2">
      <c r="A124" s="1919"/>
      <c r="B124" s="1790"/>
      <c r="C124" s="1330" t="str">
        <f>OF!C120</f>
        <v>Somewhat true.</v>
      </c>
      <c r="D124" s="122">
        <f>OF!D120</f>
        <v>0</v>
      </c>
      <c r="E124" s="196">
        <v>1</v>
      </c>
      <c r="F124" s="196">
        <f t="shared" si="4"/>
        <v>0</v>
      </c>
      <c r="G124" s="271"/>
      <c r="H124" s="1696"/>
      <c r="I124" s="1670"/>
    </row>
    <row r="125" spans="1:11" ht="15" customHeight="1" thickBot="1" x14ac:dyDescent="0.25">
      <c r="A125" s="1919"/>
      <c r="B125" s="1790"/>
      <c r="C125" s="1331" t="str">
        <f>OF!C121</f>
        <v>Mostly untrue.</v>
      </c>
      <c r="D125" s="136">
        <f>OF!D121</f>
        <v>0</v>
      </c>
      <c r="E125" s="198">
        <v>0</v>
      </c>
      <c r="F125" s="198">
        <f t="shared" si="4"/>
        <v>0</v>
      </c>
      <c r="G125" s="257"/>
      <c r="H125" s="1696"/>
      <c r="I125" s="1671"/>
    </row>
    <row r="126" spans="1:11" s="2" customFormat="1" ht="60" customHeight="1" thickBot="1" x14ac:dyDescent="0.25">
      <c r="A126" s="173" t="str">
        <f>F!A216</f>
        <v>F44</v>
      </c>
      <c r="B126" s="70" t="str">
        <f>F!B216</f>
        <v>Tributary Channel</v>
      </c>
      <c r="C126" s="747" t="str">
        <f>F!C216</f>
        <v>At least once annually, surface water from a tributary channel that is &gt;100 m long moves into the AA.  Or, surface water from a larger permanent water body adjacent to the AA spills into the AA.  If it enters only via a pipe, that pipe must be fed by a mapped stream or lake further upslope. If no, SKIP to F47 (pH Measurement).</v>
      </c>
      <c r="D126" s="748">
        <f>F!D216</f>
        <v>0</v>
      </c>
      <c r="E126" s="749"/>
      <c r="F126" s="749"/>
      <c r="G126" s="347">
        <f>F!D216</f>
        <v>0</v>
      </c>
      <c r="H126" s="3" t="s">
        <v>580</v>
      </c>
      <c r="I126" s="3" t="s">
        <v>375</v>
      </c>
      <c r="K126" s="56"/>
    </row>
    <row r="127" spans="1:11" s="2" customFormat="1" ht="28.5" customHeight="1" thickBot="1" x14ac:dyDescent="0.25">
      <c r="A127" s="1920" t="str">
        <f>F!A228</f>
        <v>F48</v>
      </c>
      <c r="B127" s="1669" t="str">
        <f>F!B228</f>
        <v>TDS and/or Conductivity</v>
      </c>
      <c r="C127" s="36" t="str">
        <f>F!C228</f>
        <v>The TDS (total dissolved solids) or conductivity off the AA's surface water is: (select the first true row with information):</v>
      </c>
      <c r="D127" s="752"/>
      <c r="E127" s="191"/>
      <c r="F127" s="192"/>
      <c r="G127" s="277">
        <f>IF((D128&gt;300),1, IF((D129&gt;200),1, IF((D130=1),1, "")))</f>
        <v>1</v>
      </c>
      <c r="H127" s="1669" t="s">
        <v>2433</v>
      </c>
      <c r="I127" s="1669" t="s">
        <v>1493</v>
      </c>
      <c r="K127" s="56"/>
    </row>
    <row r="128" spans="1:11" s="2" customFormat="1" ht="15" customHeight="1" thickBot="1" x14ac:dyDescent="0.25">
      <c r="A128" s="1921"/>
      <c r="B128" s="1670"/>
      <c r="C128" s="1423" t="str">
        <f>F!C229</f>
        <v>TDS is: [Enter the reading in ppm or mg/L in the column to the right, if measured, or answer next row.]</v>
      </c>
      <c r="D128" s="1424" t="str">
        <f>IF((F!D229=""),"",F!D229)</f>
        <v/>
      </c>
      <c r="E128" s="203"/>
      <c r="F128" s="187"/>
      <c r="G128" s="189"/>
      <c r="H128" s="1670"/>
      <c r="I128" s="1670"/>
      <c r="K128" s="56"/>
    </row>
    <row r="129" spans="1:11" s="2" customFormat="1" ht="15" customHeight="1" thickBot="1" x14ac:dyDescent="0.25">
      <c r="A129" s="1921"/>
      <c r="B129" s="1670"/>
      <c r="C129" s="1423" t="str">
        <f>F!C230</f>
        <v>Conductivity is  [Enter the reading in µS/cm in the column to the right.]</v>
      </c>
      <c r="D129" s="1424" t="str">
        <f>IF((F!D230=""),"",F!D230)</f>
        <v/>
      </c>
      <c r="E129" s="203"/>
      <c r="F129" s="187"/>
      <c r="G129" s="212"/>
      <c r="H129" s="1670"/>
      <c r="I129" s="1670"/>
      <c r="K129" s="56"/>
    </row>
    <row r="130" spans="1:11" s="2" customFormat="1" ht="15" customHeight="1" x14ac:dyDescent="0.2">
      <c r="A130" s="1921"/>
      <c r="B130" s="1670"/>
      <c r="C130" s="908" t="str">
        <f>F!C231</f>
        <v>Was not measured, but plants that indicate saline conditions cover much of the vegetated AA. Enter "1".</v>
      </c>
      <c r="D130" s="1349">
        <f>F!D231</f>
        <v>0</v>
      </c>
      <c r="E130" s="187"/>
      <c r="F130" s="187"/>
      <c r="G130" s="212"/>
      <c r="H130" s="1670"/>
      <c r="I130" s="1670"/>
      <c r="K130" s="56"/>
    </row>
    <row r="131" spans="1:11" s="2" customFormat="1" ht="15" customHeight="1" thickBot="1" x14ac:dyDescent="0.25">
      <c r="A131" s="1922"/>
      <c r="B131" s="1671"/>
      <c r="C131" s="1428" t="str">
        <f>F!C232</f>
        <v>Neither of above</v>
      </c>
      <c r="D131" s="1429">
        <f>F!D232</f>
        <v>0</v>
      </c>
      <c r="E131" s="188"/>
      <c r="F131" s="188"/>
      <c r="G131" s="216"/>
      <c r="H131" s="1671"/>
      <c r="I131" s="1671"/>
      <c r="K131" s="56"/>
    </row>
    <row r="132" spans="1:11" ht="21" customHeight="1" thickBot="1" x14ac:dyDescent="0.25">
      <c r="A132" s="1703" t="str">
        <f>F!A237</f>
        <v>F50</v>
      </c>
      <c r="B132" s="1670" t="str">
        <f>F!B237</f>
        <v>Groundwater Strength of Evidence</v>
      </c>
      <c r="C132" s="245" t="str">
        <f>F!C237</f>
        <v>Select first applicable choice:</v>
      </c>
      <c r="D132" s="193"/>
      <c r="E132" s="370"/>
      <c r="F132" s="370"/>
      <c r="G132" s="357">
        <f>MAX(F133:F135)/MAX(E133:E135)</f>
        <v>0</v>
      </c>
      <c r="H132" s="1670" t="s">
        <v>1344</v>
      </c>
      <c r="I132" s="1669" t="s">
        <v>376</v>
      </c>
    </row>
    <row r="133" spans="1:11" ht="42" customHeight="1" x14ac:dyDescent="0.2">
      <c r="A133" s="1703"/>
      <c r="B133" s="1670"/>
      <c r="C133" s="14"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133" s="183">
        <f>F!D238</f>
        <v>0</v>
      </c>
      <c r="E133" s="196">
        <v>2</v>
      </c>
      <c r="F133" s="196">
        <f>D133*E133</f>
        <v>0</v>
      </c>
      <c r="G133" s="271"/>
      <c r="H133" s="1670"/>
      <c r="I133" s="1670"/>
    </row>
    <row r="134" spans="1:11" ht="27" customHeight="1" x14ac:dyDescent="0.2">
      <c r="A134" s="1703"/>
      <c r="B134" s="1670"/>
      <c r="C134" s="222" t="str">
        <f>F!C239</f>
        <v>Most of the AA has a slope of &gt;5%, or is very close to the base of a natural slope longer than 100 and much steeper than the slope of the AA,  AND the pH of surface water, if known, is &gt;5.5.</v>
      </c>
      <c r="D134" s="128">
        <f>F!D239</f>
        <v>0</v>
      </c>
      <c r="E134" s="367">
        <v>1</v>
      </c>
      <c r="F134" s="367">
        <f>D134*E134</f>
        <v>0</v>
      </c>
      <c r="G134" s="365"/>
      <c r="H134" s="1670"/>
      <c r="I134" s="1670"/>
    </row>
    <row r="135" spans="1:11" ht="27" customHeight="1" thickBot="1" x14ac:dyDescent="0.25">
      <c r="A135" s="1722"/>
      <c r="B135" s="1671"/>
      <c r="C135" s="85" t="str">
        <f>F!C240</f>
        <v>Neither of above is true, although some groundwater may discharge to or flow through the AA. Or groundwater influx is unknown.</v>
      </c>
      <c r="D135" s="84">
        <f>F!D240</f>
        <v>0</v>
      </c>
      <c r="E135" s="368">
        <v>0</v>
      </c>
      <c r="F135" s="368">
        <f>D135*E135</f>
        <v>0</v>
      </c>
      <c r="G135" s="366"/>
      <c r="H135" s="1671"/>
      <c r="I135" s="1671"/>
    </row>
    <row r="136" spans="1:11" ht="45" customHeight="1" thickBot="1" x14ac:dyDescent="0.25">
      <c r="A136" s="1816" t="str">
        <f>F!A247</f>
        <v>F52</v>
      </c>
      <c r="B136" s="1816" t="str">
        <f>F!B247</f>
        <v>Vegetated Buffer as % of Perimeter</v>
      </c>
      <c r="C136" s="226" t="str">
        <f>F!C247</f>
        <v>Within a zone extending 30 m laterally from the AA's edge with upland and/or other wetlands, the percentage that contains perennial vegetation cover (except lawns, row crops, heavily grazed land, conifer plantations) is:</v>
      </c>
      <c r="D136" s="378"/>
      <c r="E136" s="376"/>
      <c r="F136" s="377"/>
      <c r="G136" s="347">
        <f>IF((NoCA=1),"", (MAX(F137:F141))/MAX(E137:E141))</f>
        <v>0</v>
      </c>
      <c r="H136" s="1669" t="s">
        <v>1297</v>
      </c>
      <c r="I136" s="1669" t="s">
        <v>377</v>
      </c>
    </row>
    <row r="137" spans="1:11" ht="15" customHeight="1" x14ac:dyDescent="0.2">
      <c r="A137" s="1790"/>
      <c r="B137" s="1790"/>
      <c r="C137" s="807" t="str">
        <f>F!C248</f>
        <v>&lt;5%.</v>
      </c>
      <c r="D137" s="899">
        <f>F!D248</f>
        <v>0</v>
      </c>
      <c r="E137" s="355">
        <v>4</v>
      </c>
      <c r="F137" s="196">
        <f>D137*E137</f>
        <v>0</v>
      </c>
      <c r="G137" s="274"/>
      <c r="H137" s="1670"/>
      <c r="I137" s="1670"/>
    </row>
    <row r="138" spans="1:11" ht="15" customHeight="1" x14ac:dyDescent="0.2">
      <c r="A138" s="1790"/>
      <c r="B138" s="1790"/>
      <c r="C138" s="37" t="str">
        <f>F!C249</f>
        <v>5 to 30%.</v>
      </c>
      <c r="D138" s="136">
        <f>F!D249</f>
        <v>0</v>
      </c>
      <c r="E138" s="355">
        <v>3</v>
      </c>
      <c r="F138" s="196">
        <f>D138*E138</f>
        <v>0</v>
      </c>
      <c r="G138" s="271"/>
      <c r="H138" s="1670"/>
      <c r="I138" s="1670"/>
    </row>
    <row r="139" spans="1:11" ht="15" customHeight="1" x14ac:dyDescent="0.2">
      <c r="A139" s="1790"/>
      <c r="B139" s="1790"/>
      <c r="C139" s="37" t="str">
        <f>F!C250</f>
        <v>30 to 60%.</v>
      </c>
      <c r="D139" s="122">
        <f>F!D250</f>
        <v>0</v>
      </c>
      <c r="E139" s="355">
        <v>2</v>
      </c>
      <c r="F139" s="196">
        <f>D139*E139</f>
        <v>0</v>
      </c>
      <c r="G139" s="271"/>
      <c r="H139" s="1670"/>
      <c r="I139" s="1670"/>
    </row>
    <row r="140" spans="1:11" ht="15" customHeight="1" x14ac:dyDescent="0.2">
      <c r="A140" s="1790"/>
      <c r="B140" s="1790"/>
      <c r="C140" s="37" t="str">
        <f>F!C251</f>
        <v>60 to 90%.</v>
      </c>
      <c r="D140" s="134">
        <f>F!D251</f>
        <v>0</v>
      </c>
      <c r="E140" s="355">
        <v>1</v>
      </c>
      <c r="F140" s="196">
        <f>D140*E140</f>
        <v>0</v>
      </c>
      <c r="G140" s="271"/>
      <c r="H140" s="1670"/>
      <c r="I140" s="1670"/>
    </row>
    <row r="141" spans="1:11" ht="15" customHeight="1" thickBot="1" x14ac:dyDescent="0.25">
      <c r="A141" s="1791"/>
      <c r="B141" s="1791"/>
      <c r="C141" s="702" t="str">
        <f>F!C252</f>
        <v>&gt;90%, or all the area within 30 m of the AA edge is other wetlands. SKIP to F55.</v>
      </c>
      <c r="D141" s="171">
        <f>F!D252</f>
        <v>0</v>
      </c>
      <c r="E141" s="356">
        <v>0</v>
      </c>
      <c r="F141" s="349">
        <f>D141*E141</f>
        <v>0</v>
      </c>
      <c r="G141" s="261"/>
      <c r="H141" s="1671"/>
      <c r="I141" s="1671"/>
    </row>
    <row r="142" spans="1:11" ht="30" customHeight="1" thickBot="1" x14ac:dyDescent="0.25">
      <c r="A142" s="1790" t="str">
        <f>F!A256</f>
        <v>F54</v>
      </c>
      <c r="B142" s="1816" t="str">
        <f>F!B256</f>
        <v xml:space="preserve">Buffer Slope </v>
      </c>
      <c r="C142" s="339" t="str">
        <f>F!C256</f>
        <v>The steepest and/or most disturbed part of the upland area that is within 30 m of the wetland and occupies &gt;10% of that upland area has a percent slope of:</v>
      </c>
      <c r="D142" s="193"/>
      <c r="E142" s="352"/>
      <c r="F142" s="194"/>
      <c r="G142" s="357">
        <f>IF((NoCA=1),"",IF((BuffAllNat=1),"",MAX(F143:F146)/MAX(E143:E146)))</f>
        <v>0</v>
      </c>
      <c r="H142" s="1670" t="s">
        <v>1819</v>
      </c>
      <c r="I142" s="1669" t="s">
        <v>161</v>
      </c>
    </row>
    <row r="143" spans="1:11" ht="15" customHeight="1" x14ac:dyDescent="0.2">
      <c r="A143" s="1790"/>
      <c r="B143" s="1790"/>
      <c r="C143" s="29" t="str">
        <f>F!C257</f>
        <v>&lt;1% (flat -- almost no noticeable slope) or all the area within 30 m of the AA edge is other wetlands.</v>
      </c>
      <c r="D143" s="122">
        <f>F!D257</f>
        <v>0</v>
      </c>
      <c r="E143" s="355">
        <v>0</v>
      </c>
      <c r="F143" s="196">
        <f>D143*E143</f>
        <v>0</v>
      </c>
      <c r="G143" s="274"/>
      <c r="H143" s="1670"/>
      <c r="I143" s="1670"/>
    </row>
    <row r="144" spans="1:11" ht="15" customHeight="1" x14ac:dyDescent="0.2">
      <c r="A144" s="1790"/>
      <c r="B144" s="1790"/>
      <c r="C144" s="37" t="str">
        <f>F!C258</f>
        <v>2-5%.</v>
      </c>
      <c r="D144" s="122">
        <f>F!D258</f>
        <v>0</v>
      </c>
      <c r="E144" s="355">
        <v>1</v>
      </c>
      <c r="F144" s="196">
        <f>D144*E144</f>
        <v>0</v>
      </c>
      <c r="G144" s="271"/>
      <c r="H144" s="1670"/>
      <c r="I144" s="1670"/>
    </row>
    <row r="145" spans="1:9" ht="15" customHeight="1" x14ac:dyDescent="0.2">
      <c r="A145" s="1790"/>
      <c r="B145" s="1790"/>
      <c r="C145" s="37" t="str">
        <f>F!C259</f>
        <v>5-30%.</v>
      </c>
      <c r="D145" s="134">
        <f>F!D259</f>
        <v>0</v>
      </c>
      <c r="E145" s="355">
        <v>2</v>
      </c>
      <c r="F145" s="196">
        <f>D145*E145</f>
        <v>0</v>
      </c>
      <c r="G145" s="271"/>
      <c r="H145" s="1670"/>
      <c r="I145" s="1670"/>
    </row>
    <row r="146" spans="1:9" ht="15" customHeight="1" thickBot="1" x14ac:dyDescent="0.25">
      <c r="A146" s="1791"/>
      <c r="B146" s="1791"/>
      <c r="C146" s="808" t="str">
        <f>F!C260</f>
        <v>&gt;30%.</v>
      </c>
      <c r="D146" s="171">
        <f>F!D260</f>
        <v>0</v>
      </c>
      <c r="E146" s="356">
        <v>3</v>
      </c>
      <c r="F146" s="349">
        <f>D146*E146</f>
        <v>0</v>
      </c>
      <c r="G146" s="261"/>
      <c r="H146" s="1671"/>
      <c r="I146" s="1671"/>
    </row>
    <row r="147" spans="1:9" ht="30" customHeight="1" thickBot="1" x14ac:dyDescent="0.25">
      <c r="A147" s="338" t="str">
        <f>S!A25</f>
        <v>S2</v>
      </c>
      <c r="B147" s="60" t="str">
        <f>S!B38</f>
        <v>Accelerated Inputs of Nutrients</v>
      </c>
      <c r="C147" s="1351" t="s">
        <v>978</v>
      </c>
      <c r="D147" s="142">
        <f>S!F50</f>
        <v>0</v>
      </c>
      <c r="E147" s="354"/>
      <c r="F147" s="360"/>
      <c r="G147" s="347">
        <f>D147</f>
        <v>0</v>
      </c>
      <c r="H147" s="36" t="s">
        <v>67</v>
      </c>
      <c r="I147" s="3" t="s">
        <v>381</v>
      </c>
    </row>
    <row r="148" spans="1:9" ht="21" customHeight="1" thickBot="1" x14ac:dyDescent="0.25">
      <c r="A148" s="1888"/>
      <c r="B148" s="1888"/>
      <c r="C148" s="1888"/>
      <c r="D148" s="1888"/>
      <c r="E148" s="1888"/>
      <c r="F148" s="1888"/>
      <c r="G148" s="1888"/>
      <c r="H148" s="1888"/>
    </row>
    <row r="149" spans="1:9" ht="30" customHeight="1" x14ac:dyDescent="0.2">
      <c r="A149" s="1842"/>
      <c r="B149" s="1842"/>
      <c r="C149" s="1842"/>
      <c r="D149" s="1846" t="s">
        <v>1126</v>
      </c>
      <c r="E149" s="1847"/>
      <c r="F149" s="1847"/>
      <c r="G149" s="1037" t="str">
        <f>_GDD3</f>
        <v/>
      </c>
      <c r="H149" s="1029" t="s">
        <v>2187</v>
      </c>
      <c r="I149" s="1030" t="s">
        <v>2106</v>
      </c>
    </row>
    <row r="150" spans="1:9" ht="21" customHeight="1" x14ac:dyDescent="0.2">
      <c r="A150" s="1842"/>
      <c r="B150" s="1842"/>
      <c r="C150" s="1842"/>
      <c r="D150" s="1915" t="s">
        <v>1133</v>
      </c>
      <c r="E150" s="1916"/>
      <c r="F150" s="1916"/>
      <c r="G150" s="1036">
        <f>AVERAGE(Gradient3, FlowDist3,AVERAGE(Girreg3,Gcover3,CApctB3))</f>
        <v>0</v>
      </c>
      <c r="H150" s="1034" t="s">
        <v>2084</v>
      </c>
      <c r="I150" s="1031" t="s">
        <v>2107</v>
      </c>
    </row>
    <row r="151" spans="1:9" ht="27" customHeight="1" x14ac:dyDescent="0.2">
      <c r="A151" s="1842"/>
      <c r="B151" s="1842"/>
      <c r="C151" s="1842"/>
      <c r="D151" s="1915" t="s">
        <v>1134</v>
      </c>
      <c r="E151" s="1916"/>
      <c r="F151" s="1916"/>
      <c r="G151" s="1036">
        <f>IF((AllSat1=1),"", IF((NoPonded=1),"",AVERAGE(VegWabs3, MAX(ThruFlo3,AqPlantCov3, Interspers3))))</f>
        <v>0</v>
      </c>
      <c r="H151" s="1016" t="s">
        <v>2085</v>
      </c>
      <c r="I151" s="1031" t="s">
        <v>2108</v>
      </c>
    </row>
    <row r="152" spans="1:9" ht="21" customHeight="1" x14ac:dyDescent="0.2">
      <c r="A152" s="1842"/>
      <c r="B152" s="1842"/>
      <c r="C152" s="1842"/>
      <c r="D152" s="1915" t="s">
        <v>120</v>
      </c>
      <c r="E152" s="1916"/>
      <c r="F152" s="1916"/>
      <c r="G152" s="1036">
        <f>AVERAGE(OutDura3,Gradient3,Constric3,FlowDist3,Lake3a)</f>
        <v>0</v>
      </c>
      <c r="H152" s="1016" t="s">
        <v>2086</v>
      </c>
      <c r="I152" s="1031" t="s">
        <v>2109</v>
      </c>
    </row>
    <row r="153" spans="1:9" ht="21" customHeight="1" x14ac:dyDescent="0.2">
      <c r="A153" s="1842"/>
      <c r="B153" s="1842"/>
      <c r="C153" s="1842"/>
      <c r="D153" s="1915" t="s">
        <v>1135</v>
      </c>
      <c r="E153" s="1916"/>
      <c r="F153" s="1916"/>
      <c r="G153" s="1036">
        <f>AVERAGE(SoilTex3, Stain3,CalcFen3)</f>
        <v>0.5</v>
      </c>
      <c r="H153" s="1016" t="s">
        <v>2087</v>
      </c>
      <c r="I153" s="1031" t="s">
        <v>2110</v>
      </c>
    </row>
    <row r="154" spans="1:9" ht="21" customHeight="1" thickBot="1" x14ac:dyDescent="0.25">
      <c r="A154" s="1842"/>
      <c r="B154" s="1842"/>
      <c r="C154" s="1842"/>
      <c r="D154" s="1844" t="s">
        <v>1136</v>
      </c>
      <c r="E154" s="1845"/>
      <c r="F154" s="1845"/>
      <c r="G154" s="922">
        <f>AVERAGE(SatPct3,Persis3,DomDepth3,Fluctu3,Algae3)</f>
        <v>0</v>
      </c>
      <c r="H154" s="1032" t="s">
        <v>976</v>
      </c>
      <c r="I154" s="1033" t="s">
        <v>2111</v>
      </c>
    </row>
    <row r="155" spans="1:9" ht="21" customHeight="1" thickBot="1" x14ac:dyDescent="0.25">
      <c r="A155" s="1842"/>
      <c r="B155" s="1842"/>
      <c r="C155" s="1842"/>
      <c r="D155" s="1842"/>
      <c r="E155" s="1842"/>
      <c r="F155" s="1842"/>
      <c r="G155" s="1842"/>
      <c r="H155" s="1842"/>
    </row>
    <row r="156" spans="1:9" ht="45" customHeight="1" thickBot="1" x14ac:dyDescent="0.25">
      <c r="A156" s="1842"/>
      <c r="B156" s="1843"/>
      <c r="C156" s="1826" t="s">
        <v>62</v>
      </c>
      <c r="D156" s="1827"/>
      <c r="E156" s="1828"/>
      <c r="F156" s="859" t="s">
        <v>52</v>
      </c>
      <c r="G156" s="857" t="str">
        <f>IFERROR(10*(IF((AllSat1=1), AVERAGE(IntercepDry3,Adsorb3,FreezeDura3), IF((NoOutlet3=1),1, (3*AVERAGE(Adsorb3, Desorb3) + 2*Connec3 + AVERAGE(IntercepDry3, IntercepWet3) + FreezeDura3)/ 7))),"")</f>
        <v/>
      </c>
      <c r="H156" s="1807" t="s">
        <v>2430</v>
      </c>
      <c r="I156" s="1808"/>
    </row>
    <row r="157" spans="1:9" ht="30" customHeight="1" thickBot="1" x14ac:dyDescent="0.25">
      <c r="A157" s="1842"/>
      <c r="B157" s="1843"/>
      <c r="C157" s="1826" t="s">
        <v>1907</v>
      </c>
      <c r="D157" s="1827"/>
      <c r="E157" s="1828"/>
      <c r="F157" s="1046" t="s">
        <v>2223</v>
      </c>
      <c r="G157" s="858">
        <f>10*((MAX(Pload3,PsampUp3,PsampDown3,AVERAGE(Inflo3,AVERAGE(BuffSlope3,CApct3,Transport3,Groundw3,ImpervCA3,NatCApct3)))))</f>
        <v>10</v>
      </c>
      <c r="H157" s="1807" t="s">
        <v>2356</v>
      </c>
      <c r="I157" s="1808"/>
    </row>
    <row r="158" spans="1:9" ht="21" customHeight="1" thickBot="1" x14ac:dyDescent="0.25">
      <c r="A158" s="1842"/>
      <c r="B158" s="1842"/>
      <c r="C158" s="1842"/>
      <c r="D158" s="1842"/>
      <c r="E158" s="1842"/>
      <c r="F158" s="1842"/>
      <c r="G158" s="1842"/>
      <c r="H158" s="1842"/>
    </row>
    <row r="159" spans="1:9" ht="21" customHeight="1" thickBot="1" x14ac:dyDescent="0.25">
      <c r="B159" s="29"/>
      <c r="D159" s="29"/>
      <c r="E159" s="29"/>
      <c r="F159" s="29"/>
      <c r="G159" s="29"/>
      <c r="H159" s="1913" t="s">
        <v>669</v>
      </c>
      <c r="I159" s="1914"/>
    </row>
    <row r="160" spans="1:9" ht="27" customHeight="1" x14ac:dyDescent="0.2">
      <c r="B160" s="29"/>
      <c r="D160" s="29"/>
      <c r="E160" s="29"/>
      <c r="F160" s="29"/>
      <c r="G160" s="29"/>
      <c r="H160" s="1917" t="s">
        <v>706</v>
      </c>
      <c r="I160" s="1918"/>
    </row>
    <row r="161" spans="2:9" ht="27" customHeight="1" x14ac:dyDescent="0.2">
      <c r="B161" s="29"/>
      <c r="D161" s="29"/>
      <c r="E161" s="29"/>
      <c r="F161" s="29"/>
      <c r="G161" s="29"/>
      <c r="H161" s="1909" t="s">
        <v>707</v>
      </c>
      <c r="I161" s="1910"/>
    </row>
    <row r="162" spans="2:9" ht="42" customHeight="1" x14ac:dyDescent="0.2">
      <c r="B162" s="29"/>
      <c r="D162" s="29"/>
      <c r="E162" s="29"/>
      <c r="F162" s="29"/>
      <c r="G162" s="29"/>
      <c r="H162" s="1909" t="s">
        <v>688</v>
      </c>
      <c r="I162" s="1910"/>
    </row>
    <row r="163" spans="2:9" ht="27" customHeight="1" x14ac:dyDescent="0.2">
      <c r="B163" s="29"/>
      <c r="D163" s="29"/>
      <c r="E163" s="29"/>
      <c r="F163" s="29"/>
      <c r="G163" s="29"/>
      <c r="H163" s="1909" t="s">
        <v>1499</v>
      </c>
      <c r="I163" s="1910"/>
    </row>
    <row r="164" spans="2:9" ht="42" customHeight="1" x14ac:dyDescent="0.2">
      <c r="B164" s="29"/>
      <c r="D164" s="29"/>
      <c r="E164" s="29"/>
      <c r="F164" s="29"/>
      <c r="G164" s="29"/>
      <c r="H164" s="1909" t="s">
        <v>708</v>
      </c>
      <c r="I164" s="1910"/>
    </row>
    <row r="165" spans="2:9" ht="27" customHeight="1" x14ac:dyDescent="0.2">
      <c r="B165" s="29"/>
      <c r="D165" s="29"/>
      <c r="E165" s="29"/>
      <c r="F165" s="29"/>
      <c r="G165" s="29"/>
      <c r="H165" s="1792" t="s">
        <v>1366</v>
      </c>
      <c r="I165" s="1793"/>
    </row>
    <row r="166" spans="2:9" ht="42" customHeight="1" x14ac:dyDescent="0.2">
      <c r="B166" s="29"/>
      <c r="D166" s="29"/>
      <c r="E166" s="29"/>
      <c r="F166" s="29"/>
      <c r="G166" s="29"/>
      <c r="H166" s="1909" t="s">
        <v>709</v>
      </c>
      <c r="I166" s="1910"/>
    </row>
    <row r="167" spans="2:9" ht="27" customHeight="1" x14ac:dyDescent="0.2">
      <c r="B167" s="29"/>
      <c r="D167" s="29"/>
      <c r="E167" s="29"/>
      <c r="F167" s="29"/>
      <c r="G167" s="29"/>
      <c r="H167" s="1909" t="s">
        <v>710</v>
      </c>
      <c r="I167" s="1910"/>
    </row>
    <row r="168" spans="2:9" ht="57" customHeight="1" x14ac:dyDescent="0.2">
      <c r="B168" s="29"/>
      <c r="D168" s="29"/>
      <c r="E168" s="29"/>
      <c r="F168" s="29"/>
      <c r="G168" s="29"/>
      <c r="H168" s="1909" t="s">
        <v>1363</v>
      </c>
      <c r="I168" s="1910"/>
    </row>
    <row r="169" spans="2:9" ht="27" customHeight="1" x14ac:dyDescent="0.2">
      <c r="B169" s="29"/>
      <c r="D169" s="29"/>
      <c r="E169" s="29"/>
      <c r="F169" s="29"/>
      <c r="G169" s="29"/>
      <c r="H169" s="1909" t="s">
        <v>693</v>
      </c>
      <c r="I169" s="1910"/>
    </row>
    <row r="170" spans="2:9" ht="27" customHeight="1" x14ac:dyDescent="0.2">
      <c r="B170" s="29"/>
      <c r="D170" s="29"/>
      <c r="E170" s="29"/>
      <c r="F170" s="29"/>
      <c r="G170" s="29"/>
      <c r="H170" s="1909" t="s">
        <v>711</v>
      </c>
      <c r="I170" s="1910"/>
    </row>
    <row r="171" spans="2:9" ht="27" customHeight="1" x14ac:dyDescent="0.2">
      <c r="B171" s="29"/>
      <c r="D171" s="29"/>
      <c r="E171" s="29"/>
      <c r="F171" s="29"/>
      <c r="G171" s="29"/>
      <c r="H171" s="1909" t="s">
        <v>712</v>
      </c>
      <c r="I171" s="1910"/>
    </row>
    <row r="172" spans="2:9" ht="42" customHeight="1" x14ac:dyDescent="0.2">
      <c r="B172" s="29"/>
      <c r="D172" s="29"/>
      <c r="E172" s="29"/>
      <c r="F172" s="29"/>
      <c r="G172" s="29"/>
      <c r="H172" s="1909" t="s">
        <v>697</v>
      </c>
      <c r="I172" s="1910"/>
    </row>
    <row r="173" spans="2:9" ht="42" customHeight="1" x14ac:dyDescent="0.2">
      <c r="B173" s="29"/>
      <c r="D173" s="29"/>
      <c r="E173" s="29"/>
      <c r="F173" s="29"/>
      <c r="G173" s="29"/>
      <c r="H173" s="1909" t="s">
        <v>713</v>
      </c>
      <c r="I173" s="1910"/>
    </row>
    <row r="174" spans="2:9" ht="42" customHeight="1" x14ac:dyDescent="0.2">
      <c r="B174" s="29"/>
      <c r="D174" s="29"/>
      <c r="E174" s="29"/>
      <c r="F174" s="29"/>
      <c r="G174" s="29"/>
      <c r="H174" s="1909" t="s">
        <v>714</v>
      </c>
      <c r="I174" s="1910"/>
    </row>
    <row r="175" spans="2:9" ht="27" customHeight="1" x14ac:dyDescent="0.2">
      <c r="B175" s="29"/>
      <c r="D175" s="29"/>
      <c r="E175" s="29"/>
      <c r="F175" s="29"/>
      <c r="G175" s="29"/>
      <c r="H175" s="1909" t="s">
        <v>1500</v>
      </c>
      <c r="I175" s="1910"/>
    </row>
    <row r="176" spans="2:9" ht="27" customHeight="1" x14ac:dyDescent="0.2">
      <c r="B176" s="29"/>
      <c r="D176" s="29"/>
      <c r="E176" s="29"/>
      <c r="F176" s="29"/>
      <c r="G176" s="29"/>
      <c r="H176" s="1909" t="s">
        <v>1501</v>
      </c>
      <c r="I176" s="1910"/>
    </row>
    <row r="177" spans="2:9" ht="27" customHeight="1" x14ac:dyDescent="0.2">
      <c r="H177" s="1909" t="s">
        <v>715</v>
      </c>
      <c r="I177" s="1910"/>
    </row>
    <row r="178" spans="2:9" ht="27" customHeight="1" x14ac:dyDescent="0.2">
      <c r="H178" s="1909" t="s">
        <v>716</v>
      </c>
      <c r="I178" s="1910"/>
    </row>
    <row r="179" spans="2:9" ht="42" customHeight="1" x14ac:dyDescent="0.2">
      <c r="B179" s="29"/>
      <c r="D179" s="29"/>
      <c r="E179" s="29"/>
      <c r="F179" s="29"/>
      <c r="G179" s="29"/>
      <c r="H179" s="1909" t="s">
        <v>717</v>
      </c>
      <c r="I179" s="1910"/>
    </row>
    <row r="180" spans="2:9" ht="42" customHeight="1" x14ac:dyDescent="0.2">
      <c r="B180" s="29"/>
      <c r="D180" s="29"/>
      <c r="E180" s="29"/>
      <c r="F180" s="29"/>
      <c r="G180" s="29"/>
      <c r="H180" s="1909" t="s">
        <v>1190</v>
      </c>
      <c r="I180" s="1910"/>
    </row>
    <row r="181" spans="2:9" ht="42" customHeight="1" thickBot="1" x14ac:dyDescent="0.25">
      <c r="B181" s="29"/>
      <c r="D181" s="29"/>
      <c r="E181" s="29"/>
      <c r="F181" s="29"/>
      <c r="G181" s="29"/>
      <c r="H181" s="1911" t="s">
        <v>703</v>
      </c>
      <c r="I181" s="1912"/>
    </row>
    <row r="182" spans="2:9" ht="42" customHeight="1" x14ac:dyDescent="0.2">
      <c r="B182" s="29"/>
      <c r="D182" s="29"/>
      <c r="E182" s="29"/>
      <c r="F182" s="29"/>
      <c r="G182" s="29"/>
    </row>
    <row r="183" spans="2:9" ht="42" customHeight="1" x14ac:dyDescent="0.2">
      <c r="B183" s="29"/>
      <c r="D183" s="29"/>
      <c r="E183" s="29"/>
      <c r="F183" s="29"/>
      <c r="G183" s="29"/>
    </row>
    <row r="184" spans="2:9" ht="42" customHeight="1" x14ac:dyDescent="0.2">
      <c r="B184" s="29"/>
      <c r="D184" s="29"/>
      <c r="E184" s="29"/>
      <c r="F184" s="29"/>
      <c r="G184" s="29"/>
    </row>
    <row r="193" spans="10:10" x14ac:dyDescent="0.2">
      <c r="J193" s="32"/>
    </row>
    <row r="194" spans="10:10" x14ac:dyDescent="0.2">
      <c r="J194" s="32"/>
    </row>
    <row r="195" spans="10:10" x14ac:dyDescent="0.2">
      <c r="J195" s="32"/>
    </row>
    <row r="196" spans="10:10" x14ac:dyDescent="0.2">
      <c r="J196" s="32"/>
    </row>
    <row r="197" spans="10:10" x14ac:dyDescent="0.2">
      <c r="J197" s="32"/>
    </row>
    <row r="199" spans="10:10" x14ac:dyDescent="0.2">
      <c r="J199" s="32"/>
    </row>
  </sheetData>
  <sheetProtection algorithmName="SHA-512" hashValue="UhBNUEuyTf6CdELaBM071MLqvTRPJVkpLXLYlIeqY/CO6MRgFAUnz+Q72nfKWstfi4BwREb/QtkOrlSBY+4RmQ==" saltValue="q9RgmbM6aIUDnGH/87ySOQ==" spinCount="100000" sheet="1" formatCells="0" formatColumns="0" formatRows="0"/>
  <customSheetViews>
    <customSheetView guid="{B8E02330-2419-4DE6-AD01-7ACC7A5D18DD}" scale="75">
      <selection activeCell="H167" sqref="A2:H167"/>
      <pageMargins left="0.75" right="0.75" top="1" bottom="1" header="0.5" footer="0.5"/>
      <pageSetup orientation="portrait" r:id="rId1"/>
      <headerFooter alignWithMargins="0"/>
    </customSheetView>
  </customSheetViews>
  <mergeCells count="144">
    <mergeCell ref="A1:B1"/>
    <mergeCell ref="H71:H74"/>
    <mergeCell ref="A71:A74"/>
    <mergeCell ref="B71:B74"/>
    <mergeCell ref="H8:H14"/>
    <mergeCell ref="A8:A14"/>
    <mergeCell ref="H51:H56"/>
    <mergeCell ref="H45:H50"/>
    <mergeCell ref="A3:A7"/>
    <mergeCell ref="B32:B38"/>
    <mergeCell ref="B25:B30"/>
    <mergeCell ref="A21:A24"/>
    <mergeCell ref="B21:B24"/>
    <mergeCell ref="B16:B20"/>
    <mergeCell ref="B45:B50"/>
    <mergeCell ref="A39:A44"/>
    <mergeCell ref="B64:B70"/>
    <mergeCell ref="B3:B7"/>
    <mergeCell ref="A45:A50"/>
    <mergeCell ref="H3:H7"/>
    <mergeCell ref="B8:B14"/>
    <mergeCell ref="E1:I1"/>
    <mergeCell ref="I3:I7"/>
    <mergeCell ref="I8:I14"/>
    <mergeCell ref="B57:B63"/>
    <mergeCell ref="A57:A63"/>
    <mergeCell ref="B86:B91"/>
    <mergeCell ref="A64:A70"/>
    <mergeCell ref="A82:A85"/>
    <mergeCell ref="B51:B56"/>
    <mergeCell ref="H64:H70"/>
    <mergeCell ref="H32:H38"/>
    <mergeCell ref="H39:H44"/>
    <mergeCell ref="A76:A81"/>
    <mergeCell ref="B76:B81"/>
    <mergeCell ref="B39:B44"/>
    <mergeCell ref="A32:A38"/>
    <mergeCell ref="A16:A20"/>
    <mergeCell ref="A25:A30"/>
    <mergeCell ref="A51:A56"/>
    <mergeCell ref="I16:I20"/>
    <mergeCell ref="I21:I24"/>
    <mergeCell ref="I25:I30"/>
    <mergeCell ref="I32:I38"/>
    <mergeCell ref="I39:I44"/>
    <mergeCell ref="I45:I50"/>
    <mergeCell ref="A142:A146"/>
    <mergeCell ref="B142:B146"/>
    <mergeCell ref="B136:B141"/>
    <mergeCell ref="D150:F150"/>
    <mergeCell ref="D151:F151"/>
    <mergeCell ref="A148:H148"/>
    <mergeCell ref="A149:C154"/>
    <mergeCell ref="H16:H20"/>
    <mergeCell ref="H21:H24"/>
    <mergeCell ref="H25:H30"/>
    <mergeCell ref="B103:B107"/>
    <mergeCell ref="H103:H107"/>
    <mergeCell ref="A103:A107"/>
    <mergeCell ref="H92:H95"/>
    <mergeCell ref="B92:B95"/>
    <mergeCell ref="B82:B85"/>
    <mergeCell ref="H76:H81"/>
    <mergeCell ref="A86:A91"/>
    <mergeCell ref="A92:A95"/>
    <mergeCell ref="H86:H91"/>
    <mergeCell ref="H82:H85"/>
    <mergeCell ref="A113:A117"/>
    <mergeCell ref="B113:B117"/>
    <mergeCell ref="B96:B100"/>
    <mergeCell ref="A108:A112"/>
    <mergeCell ref="H108:H112"/>
    <mergeCell ref="B122:B125"/>
    <mergeCell ref="A122:A125"/>
    <mergeCell ref="H118:H121"/>
    <mergeCell ref="B108:B112"/>
    <mergeCell ref="H96:H100"/>
    <mergeCell ref="H132:H135"/>
    <mergeCell ref="H122:H125"/>
    <mergeCell ref="B132:B135"/>
    <mergeCell ref="A132:A135"/>
    <mergeCell ref="H127:H131"/>
    <mergeCell ref="B127:B131"/>
    <mergeCell ref="A127:A131"/>
    <mergeCell ref="A118:A121"/>
    <mergeCell ref="B118:B121"/>
    <mergeCell ref="A96:A100"/>
    <mergeCell ref="I103:I107"/>
    <mergeCell ref="I108:I112"/>
    <mergeCell ref="I51:I56"/>
    <mergeCell ref="I57:I63"/>
    <mergeCell ref="I64:I70"/>
    <mergeCell ref="I71:I74"/>
    <mergeCell ref="I76:I81"/>
    <mergeCell ref="I96:I100"/>
    <mergeCell ref="H160:I160"/>
    <mergeCell ref="I82:I85"/>
    <mergeCell ref="I86:I91"/>
    <mergeCell ref="I92:I95"/>
    <mergeCell ref="H57:H63"/>
    <mergeCell ref="H161:I161"/>
    <mergeCell ref="I136:I141"/>
    <mergeCell ref="I142:I146"/>
    <mergeCell ref="I113:I117"/>
    <mergeCell ref="I118:I121"/>
    <mergeCell ref="I122:I125"/>
    <mergeCell ref="I127:I131"/>
    <mergeCell ref="I132:I135"/>
    <mergeCell ref="H113:H117"/>
    <mergeCell ref="H156:I156"/>
    <mergeCell ref="H157:I157"/>
    <mergeCell ref="H159:I159"/>
    <mergeCell ref="A158:H158"/>
    <mergeCell ref="C157:E157"/>
    <mergeCell ref="D154:F154"/>
    <mergeCell ref="A136:A141"/>
    <mergeCell ref="C156:E156"/>
    <mergeCell ref="D153:F153"/>
    <mergeCell ref="A155:H155"/>
    <mergeCell ref="A156:B157"/>
    <mergeCell ref="H142:H146"/>
    <mergeCell ref="H136:H141"/>
    <mergeCell ref="D149:F149"/>
    <mergeCell ref="D152:F152"/>
    <mergeCell ref="H177:I177"/>
    <mergeCell ref="H178:I178"/>
    <mergeCell ref="H179:I179"/>
    <mergeCell ref="H180:I180"/>
    <mergeCell ref="H181:I181"/>
    <mergeCell ref="H172:I172"/>
    <mergeCell ref="H173:I173"/>
    <mergeCell ref="H174:I174"/>
    <mergeCell ref="H175:I175"/>
    <mergeCell ref="H176:I176"/>
    <mergeCell ref="H167:I167"/>
    <mergeCell ref="H168:I168"/>
    <mergeCell ref="H169:I169"/>
    <mergeCell ref="H170:I170"/>
    <mergeCell ref="H171:I171"/>
    <mergeCell ref="H162:I162"/>
    <mergeCell ref="H163:I163"/>
    <mergeCell ref="H164:I164"/>
    <mergeCell ref="H165:I165"/>
    <mergeCell ref="H166:I166"/>
  </mergeCells>
  <phoneticPr fontId="3" type="noConversion"/>
  <pageMargins left="0.75" right="0.75" top="1" bottom="1" header="0.5" footer="0.5"/>
  <pageSetup orientation="portrait"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AF275"/>
  <sheetViews>
    <sheetView zoomScaleNormal="100" workbookViewId="0">
      <selection sqref="A1:B1"/>
    </sheetView>
  </sheetViews>
  <sheetFormatPr defaultColWidth="9.33203125" defaultRowHeight="12.75" x14ac:dyDescent="0.2"/>
  <cols>
    <col min="1" max="1" width="5.83203125" style="10" customWidth="1"/>
    <col min="2" max="2" width="18.83203125" style="2" customWidth="1"/>
    <col min="3" max="3" width="75.83203125" style="2" customWidth="1"/>
    <col min="4" max="6" width="7.83203125" style="395" customWidth="1"/>
    <col min="7" max="7" width="9.83203125" style="396" customWidth="1"/>
    <col min="8" max="8" width="64.83203125" style="2" customWidth="1"/>
    <col min="9" max="9" width="9.83203125" style="2" customWidth="1"/>
    <col min="10" max="16384" width="9.33203125" style="2"/>
  </cols>
  <sheetData>
    <row r="1" spans="1:9" s="54" customFormat="1" ht="69" customHeight="1" thickBot="1" x14ac:dyDescent="0.25">
      <c r="A1" s="1868" t="s">
        <v>2332</v>
      </c>
      <c r="B1" s="1869"/>
      <c r="C1" s="1407" t="s">
        <v>1446</v>
      </c>
      <c r="D1" s="1411" t="s">
        <v>1064</v>
      </c>
      <c r="E1" s="1929"/>
      <c r="F1" s="1930"/>
      <c r="G1" s="1930"/>
      <c r="H1" s="1930"/>
      <c r="I1" s="1930"/>
    </row>
    <row r="2" spans="1:9" s="56" customFormat="1" ht="36" customHeight="1" thickBot="1" x14ac:dyDescent="0.25">
      <c r="A2" s="833" t="s">
        <v>88</v>
      </c>
      <c r="B2" s="833" t="s">
        <v>1424</v>
      </c>
      <c r="C2" s="862" t="s">
        <v>1164</v>
      </c>
      <c r="D2" s="870" t="s">
        <v>45</v>
      </c>
      <c r="E2" s="845" t="s">
        <v>1188</v>
      </c>
      <c r="F2" s="846" t="s">
        <v>2583</v>
      </c>
      <c r="G2" s="847" t="s">
        <v>2558</v>
      </c>
      <c r="H2" s="848" t="s">
        <v>1117</v>
      </c>
      <c r="I2" s="895" t="s">
        <v>2427</v>
      </c>
    </row>
    <row r="3" spans="1:9" ht="21" customHeight="1" thickBot="1" x14ac:dyDescent="0.25">
      <c r="A3" s="1721" t="str">
        <f>OF!A86</f>
        <v>OF16</v>
      </c>
      <c r="B3" s="1693" t="str">
        <f>OF!B86</f>
        <v>Upland Edge Contact</v>
      </c>
      <c r="C3" s="240" t="str">
        <f>OF!C86</f>
        <v>Select one:</v>
      </c>
      <c r="D3" s="191"/>
      <c r="E3" s="191"/>
      <c r="F3" s="192"/>
      <c r="G3" s="327">
        <f>MAX(F4:F8)/MAX(E4:E8)</f>
        <v>0</v>
      </c>
      <c r="H3" s="1693" t="s">
        <v>586</v>
      </c>
      <c r="I3" s="1669" t="s">
        <v>2853</v>
      </c>
    </row>
    <row r="4" spans="1:9" ht="27" customHeight="1" x14ac:dyDescent="0.2">
      <c r="A4" s="1703"/>
      <c r="B4" s="1696"/>
      <c r="C4" s="14" t="str">
        <f>OF!C87</f>
        <v>The AA has no upland edge (or upland is &lt;1% of perimeter). The AA is entirely surrounded by (&amp; contiguous with) other wetlands or water.</v>
      </c>
      <c r="D4" s="129">
        <f>OF!D87</f>
        <v>0</v>
      </c>
      <c r="E4" s="187">
        <v>0</v>
      </c>
      <c r="F4" s="187">
        <f>D4*E4</f>
        <v>0</v>
      </c>
      <c r="G4" s="383"/>
      <c r="H4" s="1696"/>
      <c r="I4" s="1670"/>
    </row>
    <row r="5" spans="1:9" ht="27" customHeight="1" x14ac:dyDescent="0.2">
      <c r="A5" s="1703"/>
      <c r="B5" s="1696"/>
      <c r="C5" s="14" t="str">
        <f>OF!C88</f>
        <v>1-25% of the AA's perimeter abuts upland (including filled areas). The rest adjoins other wetlands or water that is mostly wider than the AA.</v>
      </c>
      <c r="D5" s="129">
        <f>OF!D88</f>
        <v>0</v>
      </c>
      <c r="E5" s="187">
        <v>1</v>
      </c>
      <c r="F5" s="187">
        <f>D5*E5</f>
        <v>0</v>
      </c>
      <c r="G5" s="383"/>
      <c r="H5" s="1696"/>
      <c r="I5" s="1670"/>
    </row>
    <row r="6" spans="1:9" ht="27" customHeight="1" x14ac:dyDescent="0.2">
      <c r="A6" s="1703"/>
      <c r="B6" s="1696"/>
      <c r="C6" s="14" t="str">
        <f>OF!C89</f>
        <v>25-50% of the AA's perimeter abuts upland. The rest adjoins other wetlands or water that is mostly wider than the AA.</v>
      </c>
      <c r="D6" s="129">
        <f>OF!D89</f>
        <v>0</v>
      </c>
      <c r="E6" s="187">
        <v>2</v>
      </c>
      <c r="F6" s="187">
        <f>D6*E6</f>
        <v>0</v>
      </c>
      <c r="G6" s="383"/>
      <c r="H6" s="1696"/>
      <c r="I6" s="1670"/>
    </row>
    <row r="7" spans="1:9" ht="27" customHeight="1" x14ac:dyDescent="0.2">
      <c r="A7" s="1703"/>
      <c r="B7" s="1696"/>
      <c r="C7" s="14" t="str">
        <f>OF!C90</f>
        <v>50-75% of the AA's perimeter abuts upland. The rest adjoins other wetlands or water that is mostly wider than the AA.</v>
      </c>
      <c r="D7" s="129">
        <f>OF!D90</f>
        <v>0</v>
      </c>
      <c r="E7" s="187">
        <v>3</v>
      </c>
      <c r="F7" s="187">
        <f>D7*E7</f>
        <v>0</v>
      </c>
      <c r="G7" s="384"/>
      <c r="H7" s="1696"/>
      <c r="I7" s="1670"/>
    </row>
    <row r="8" spans="1:9" ht="27" customHeight="1" thickBot="1" x14ac:dyDescent="0.25">
      <c r="A8" s="1703"/>
      <c r="B8" s="1696"/>
      <c r="C8" s="14" t="str">
        <f>OF!C91</f>
        <v>More than 75% of the AA's perimeter abuts upland. Any remainder adjoins other wetlands or water that is mostly wider than the AA.  This will be true for most assessments done with WESP-AC.</v>
      </c>
      <c r="D8" s="129">
        <f>OF!D91</f>
        <v>0</v>
      </c>
      <c r="E8" s="190">
        <v>4</v>
      </c>
      <c r="F8" s="190">
        <f>D8*E8</f>
        <v>0</v>
      </c>
      <c r="G8" s="391"/>
      <c r="H8" s="1696"/>
      <c r="I8" s="1671"/>
    </row>
    <row r="9" spans="1:9" ht="60" customHeight="1" thickBot="1" x14ac:dyDescent="0.25">
      <c r="A9" s="901" t="str">
        <f>OF!A97</f>
        <v>OF18</v>
      </c>
      <c r="B9" s="1281" t="str">
        <f>OF!B97</f>
        <v>Relative Elevation in Watershed</v>
      </c>
      <c r="C9" s="88" t="str">
        <f>OF!C97</f>
        <v>In Google Earth, enable the Terrain layer (lower left menu) and open the NB_Watersheds KMZ file that accompanies this calculator. Then determine the AA's approximate elevation (bottom right, NOT the "eye alt").  Then move cursor around to determine the watershed's maximum and minimum elevation.  Divide the AA's elevation by the (max-min).</v>
      </c>
      <c r="D9" s="210"/>
      <c r="E9" s="202"/>
      <c r="F9" s="191"/>
      <c r="G9" s="327">
        <f>ShedPos</f>
        <v>0</v>
      </c>
      <c r="H9" s="120" t="s">
        <v>2563</v>
      </c>
      <c r="I9" s="120" t="s">
        <v>1327</v>
      </c>
    </row>
    <row r="10" spans="1:9" ht="93.75" customHeight="1" thickBot="1" x14ac:dyDescent="0.25">
      <c r="A10" s="1721" t="str">
        <f>OF!A109</f>
        <v>OF22</v>
      </c>
      <c r="B10" s="1802" t="str">
        <f>OF!B109</f>
        <v>Wetland as a % of Its Contributing Area (Catchment)</v>
      </c>
      <c r="C10" s="55" t="str">
        <f>OF!C109</f>
        <v>From a topographic map and field observations, estimate the approximate boundaries of the catchment (CA) of the entire wetland of which the AA may be only a part. Then adjust those boundaries if necessary based on your field observations of the surrounding terrain, and/or by using procedures described in the Manual.  Divide the area of the wetland (not just the AA) by the approximate area of its catchment excluding the area of the wetland itself.  When doing the calculation, if ponded water is adjacent to the wetland, include that in the wetland's area.  The result is:</v>
      </c>
      <c r="D10" s="191"/>
      <c r="E10" s="386"/>
      <c r="F10" s="191"/>
      <c r="G10" s="327">
        <f>MAX(F11:F14)/MAX(E11:E14)</f>
        <v>0</v>
      </c>
      <c r="H10" s="1669" t="s">
        <v>1094</v>
      </c>
      <c r="I10" s="1669" t="s">
        <v>1014</v>
      </c>
    </row>
    <row r="11" spans="1:9" ht="15" customHeight="1" x14ac:dyDescent="0.2">
      <c r="A11" s="1703"/>
      <c r="B11" s="1803"/>
      <c r="C11" s="1324" t="str">
        <f>OF!C110</f>
        <v>&lt;0.01, or catchment size unknown due to stormwater pipes that collect water from an indeterminate area.</v>
      </c>
      <c r="D11" s="129">
        <f>OF!D110</f>
        <v>0</v>
      </c>
      <c r="E11" s="187">
        <v>0</v>
      </c>
      <c r="F11" s="190">
        <f>D11*E11</f>
        <v>0</v>
      </c>
      <c r="G11" s="384"/>
      <c r="H11" s="1670"/>
      <c r="I11" s="1670"/>
    </row>
    <row r="12" spans="1:9" ht="15" customHeight="1" x14ac:dyDescent="0.2">
      <c r="A12" s="1703"/>
      <c r="B12" s="1803"/>
      <c r="C12" s="1058" t="str">
        <f>OF!C111</f>
        <v>0.01 to 0.1.</v>
      </c>
      <c r="D12" s="33">
        <f>OF!D111</f>
        <v>0</v>
      </c>
      <c r="E12" s="187">
        <v>1</v>
      </c>
      <c r="F12" s="190">
        <f>D12*E12</f>
        <v>0</v>
      </c>
      <c r="G12" s="384"/>
      <c r="H12" s="1670"/>
      <c r="I12" s="1670"/>
    </row>
    <row r="13" spans="1:9" ht="15" customHeight="1" x14ac:dyDescent="0.2">
      <c r="A13" s="1703"/>
      <c r="B13" s="1803"/>
      <c r="C13" s="1058" t="str">
        <f>OF!C112</f>
        <v>0.1 to 1.</v>
      </c>
      <c r="D13" s="33">
        <f>OF!D112</f>
        <v>0</v>
      </c>
      <c r="E13" s="187">
        <v>2</v>
      </c>
      <c r="F13" s="190">
        <f>D13*E13</f>
        <v>0</v>
      </c>
      <c r="G13" s="384"/>
      <c r="H13" s="1670"/>
      <c r="I13" s="1670"/>
    </row>
    <row r="14" spans="1:9" ht="27" customHeight="1" thickBot="1" x14ac:dyDescent="0.25">
      <c r="A14" s="1722"/>
      <c r="B14" s="1804"/>
      <c r="C14" s="1061" t="str">
        <f>OF!C113</f>
        <v xml:space="preserve">&gt;1 (wetland is larger than its catchment (e.g., wetland with flat surrounding terrain and no inlet, or is entirely isolated by dikes, or is a raised bog). </v>
      </c>
      <c r="D14" s="84">
        <f>OF!D113</f>
        <v>0</v>
      </c>
      <c r="E14" s="188">
        <v>3</v>
      </c>
      <c r="F14" s="188">
        <f>D14*E14</f>
        <v>0</v>
      </c>
      <c r="G14" s="385"/>
      <c r="H14" s="1671"/>
      <c r="I14" s="1671"/>
    </row>
    <row r="15" spans="1:9" ht="21" customHeight="1" thickBot="1" x14ac:dyDescent="0.25">
      <c r="A15" s="1721" t="str">
        <f>OF!A122</f>
        <v>OF25</v>
      </c>
      <c r="B15" s="1802" t="str">
        <f>OF!B122</f>
        <v>Aspect</v>
      </c>
      <c r="C15" s="55" t="str">
        <f>OF!C122</f>
        <v>The overland flow direction of most surface water (in streams, rivers, or runoff) that enters the AA is:</v>
      </c>
      <c r="D15" s="191"/>
      <c r="E15" s="191"/>
      <c r="F15" s="192"/>
      <c r="G15" s="327">
        <f>IF((NoCA=1),"", MAX(F16:F18)/MAX(E16:E18))</f>
        <v>0</v>
      </c>
      <c r="H15" s="1669" t="s">
        <v>605</v>
      </c>
      <c r="I15" s="1669" t="s">
        <v>191</v>
      </c>
    </row>
    <row r="16" spans="1:9" ht="15" customHeight="1" x14ac:dyDescent="0.2">
      <c r="A16" s="1703"/>
      <c r="B16" s="1803"/>
      <c r="C16" s="1324" t="str">
        <f>OF!C123</f>
        <v>Northward (N, NE). north-facing contributing area.</v>
      </c>
      <c r="D16" s="129">
        <f>OF!D123</f>
        <v>0</v>
      </c>
      <c r="E16" s="187">
        <v>0</v>
      </c>
      <c r="F16" s="190">
        <f>D16*E16</f>
        <v>0</v>
      </c>
      <c r="G16" s="383"/>
      <c r="H16" s="1670"/>
      <c r="I16" s="1670"/>
    </row>
    <row r="17" spans="1:9" ht="15" customHeight="1" x14ac:dyDescent="0.2">
      <c r="A17" s="1703"/>
      <c r="B17" s="1803"/>
      <c r="C17" s="1058" t="str">
        <f>OF!C124</f>
        <v>Southward (S, SW). south-facing contributing area.</v>
      </c>
      <c r="D17" s="33">
        <f>OF!D124</f>
        <v>0</v>
      </c>
      <c r="E17" s="187">
        <v>2</v>
      </c>
      <c r="F17" s="190">
        <f>D17*E17</f>
        <v>0</v>
      </c>
      <c r="G17" s="384"/>
      <c r="H17" s="1670"/>
      <c r="I17" s="1670"/>
    </row>
    <row r="18" spans="1:9" ht="15" customHeight="1" thickBot="1" x14ac:dyDescent="0.25">
      <c r="A18" s="1722"/>
      <c r="B18" s="1804"/>
      <c r="C18" s="1061" t="str">
        <f>OF!C125</f>
        <v>Other (E, SE, W, NW), or no detectable uphill slope or input channel (flat).</v>
      </c>
      <c r="D18" s="84">
        <f>OF!D125</f>
        <v>0</v>
      </c>
      <c r="E18" s="188">
        <v>1</v>
      </c>
      <c r="F18" s="188">
        <f>D18*E18</f>
        <v>0</v>
      </c>
      <c r="G18" s="385"/>
      <c r="H18" s="1671"/>
      <c r="I18" s="1671"/>
    </row>
    <row r="19" spans="1:9" ht="21" customHeight="1" thickBot="1" x14ac:dyDescent="0.25">
      <c r="A19" s="1721" t="str">
        <f>OF!A126</f>
        <v>OF26</v>
      </c>
      <c r="B19" s="1669" t="str">
        <f>OF!B126</f>
        <v>Internal Flow Distance (Path Length)</v>
      </c>
      <c r="C19" s="3" t="str">
        <f>OF!C126</f>
        <v xml:space="preserve">The horizontal flow distance from the wetland's inlet to outlet is: </v>
      </c>
      <c r="D19" s="191"/>
      <c r="E19" s="191"/>
      <c r="F19" s="192"/>
      <c r="G19" s="253">
        <f>MAX(F20:F25)/MAX(E20:E25)</f>
        <v>0</v>
      </c>
      <c r="H19" s="1669" t="s">
        <v>1003</v>
      </c>
      <c r="I19" s="1669" t="s">
        <v>1015</v>
      </c>
    </row>
    <row r="20" spans="1:9" ht="15" customHeight="1" x14ac:dyDescent="0.2">
      <c r="A20" s="1703"/>
      <c r="B20" s="1670"/>
      <c r="C20" s="1324" t="str">
        <f>OF!C127</f>
        <v>&lt;10 m.</v>
      </c>
      <c r="D20" s="129">
        <f>OF!D127</f>
        <v>0</v>
      </c>
      <c r="E20" s="187">
        <v>1</v>
      </c>
      <c r="F20" s="187">
        <f t="shared" ref="F20:F25" si="0">D20*E20</f>
        <v>0</v>
      </c>
      <c r="G20" s="384"/>
      <c r="H20" s="1670"/>
      <c r="I20" s="1670"/>
    </row>
    <row r="21" spans="1:9" ht="15" customHeight="1" x14ac:dyDescent="0.2">
      <c r="A21" s="1703"/>
      <c r="B21" s="1670"/>
      <c r="C21" s="1058" t="str">
        <f>OF!C128</f>
        <v>10 - 50 m.</v>
      </c>
      <c r="D21" s="33">
        <f>OF!D128</f>
        <v>0</v>
      </c>
      <c r="E21" s="187">
        <v>2</v>
      </c>
      <c r="F21" s="187">
        <f t="shared" si="0"/>
        <v>0</v>
      </c>
      <c r="G21" s="384"/>
      <c r="H21" s="1670"/>
      <c r="I21" s="1670"/>
    </row>
    <row r="22" spans="1:9" ht="15" customHeight="1" x14ac:dyDescent="0.2">
      <c r="A22" s="1703"/>
      <c r="B22" s="1670"/>
      <c r="C22" s="1058" t="str">
        <f>OF!C129</f>
        <v>50 - 100 m.</v>
      </c>
      <c r="D22" s="33">
        <f>OF!D129</f>
        <v>0</v>
      </c>
      <c r="E22" s="187">
        <v>3</v>
      </c>
      <c r="F22" s="187">
        <f t="shared" si="0"/>
        <v>0</v>
      </c>
      <c r="G22" s="384"/>
      <c r="H22" s="1670"/>
      <c r="I22" s="1670"/>
    </row>
    <row r="23" spans="1:9" ht="15" customHeight="1" x14ac:dyDescent="0.2">
      <c r="A23" s="1703"/>
      <c r="B23" s="1670"/>
      <c r="C23" s="1058" t="str">
        <f>OF!C130</f>
        <v>100 - 1000 m.</v>
      </c>
      <c r="D23" s="33">
        <f>OF!D130</f>
        <v>0</v>
      </c>
      <c r="E23" s="187">
        <v>4</v>
      </c>
      <c r="F23" s="187">
        <f t="shared" si="0"/>
        <v>0</v>
      </c>
      <c r="G23" s="384"/>
      <c r="H23" s="1670"/>
      <c r="I23" s="1670"/>
    </row>
    <row r="24" spans="1:9" ht="15" customHeight="1" x14ac:dyDescent="0.2">
      <c r="A24" s="1703"/>
      <c r="B24" s="1670"/>
      <c r="C24" s="1058" t="str">
        <f>OF!C131</f>
        <v>1- 2 km.</v>
      </c>
      <c r="D24" s="33">
        <f>OF!D131</f>
        <v>0</v>
      </c>
      <c r="E24" s="187">
        <v>5</v>
      </c>
      <c r="F24" s="187">
        <f t="shared" si="0"/>
        <v>0</v>
      </c>
      <c r="G24" s="384"/>
      <c r="H24" s="1670"/>
      <c r="I24" s="1670"/>
    </row>
    <row r="25" spans="1:9" ht="15" customHeight="1" thickBot="1" x14ac:dyDescent="0.25">
      <c r="A25" s="1722"/>
      <c r="B25" s="1671"/>
      <c r="C25" s="1061" t="str">
        <f>OF!C132</f>
        <v>&gt;2 km, or wetland lacks an inlet and outlet.</v>
      </c>
      <c r="D25" s="84">
        <f>OF!D132</f>
        <v>0</v>
      </c>
      <c r="E25" s="188">
        <v>7</v>
      </c>
      <c r="F25" s="188">
        <f t="shared" si="0"/>
        <v>0</v>
      </c>
      <c r="G25" s="385"/>
      <c r="H25" s="1671"/>
      <c r="I25" s="1671"/>
    </row>
    <row r="26" spans="1:9" ht="91.5" customHeight="1" thickBot="1" x14ac:dyDescent="0.25">
      <c r="A26" s="1123" t="str">
        <f>OF!A133</f>
        <v>OF27</v>
      </c>
      <c r="B26" s="644" t="str">
        <f>OF!B133</f>
        <v>Growing Degree Days</v>
      </c>
      <c r="C26" s="1123" t="str">
        <f>OF!C133</f>
        <v>In Google Earth, open the KMZ file that accompanies this calculator, called NB-PEI_GrowingDegreeDays. Place your cursor over the AA and left-click. From the pop-up, enter the GRIDCODE in the next column.</v>
      </c>
      <c r="D26" s="1413">
        <f>OF!D133</f>
        <v>0</v>
      </c>
      <c r="E26" s="1129"/>
      <c r="F26" s="194"/>
      <c r="G26" s="268" t="str">
        <f>IF((GrowD&lt;1),"",(GrowD-1305)/1328)</f>
        <v/>
      </c>
      <c r="H26" s="435" t="s">
        <v>1797</v>
      </c>
      <c r="I26" s="120" t="s">
        <v>1016</v>
      </c>
    </row>
    <row r="27" spans="1:9" ht="21" customHeight="1" thickBot="1" x14ac:dyDescent="0.25">
      <c r="A27" s="1669" t="str">
        <f>F!A4</f>
        <v>F1</v>
      </c>
      <c r="B27" s="1669" t="str">
        <f>F!B4</f>
        <v>Wetland Type</v>
      </c>
      <c r="C27" s="240" t="str">
        <f>F!C4</f>
        <v>Follow the key below and mark the ONE row that best describes MOST of the vegetated part of the AA:</v>
      </c>
      <c r="D27" s="191"/>
      <c r="E27" s="1067"/>
      <c r="F27" s="1068"/>
      <c r="G27" s="327">
        <f>MAX(F29:F33)/MAX(E29:E33)</f>
        <v>0</v>
      </c>
      <c r="H27" s="1669" t="s">
        <v>1551</v>
      </c>
      <c r="I27" s="1669" t="s">
        <v>382</v>
      </c>
    </row>
    <row r="28" spans="1:9" ht="57" customHeight="1" thickBot="1" x14ac:dyDescent="0.25">
      <c r="A28" s="1670"/>
      <c r="B28" s="1670"/>
      <c r="C28" s="3" t="str">
        <f>F!C5</f>
        <v>A. Moss and/or lichen cover more than 25%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v>
      </c>
      <c r="D28" s="189"/>
      <c r="E28" s="387"/>
      <c r="F28" s="388"/>
      <c r="G28" s="388"/>
      <c r="H28" s="1670"/>
      <c r="I28" s="1670"/>
    </row>
    <row r="29" spans="1:9" ht="81" customHeight="1" x14ac:dyDescent="0.2">
      <c r="A29" s="1670"/>
      <c r="B29" s="1703"/>
      <c r="C29" s="809" t="str">
        <f>F!C6</f>
        <v>A1.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(Carex rariflora). Wetland surface and surrounding landscape are seldom sloping and wetland often is domed (convex). Inlet and outlet channels are usually absent.  If known, pH of peat is &lt;4.0.</v>
      </c>
      <c r="D29" s="33">
        <f>F!D6</f>
        <v>0</v>
      </c>
      <c r="E29" s="1415">
        <v>0</v>
      </c>
      <c r="F29" s="187">
        <f>D29*E29</f>
        <v>0</v>
      </c>
      <c r="G29" s="306"/>
      <c r="H29" s="1670"/>
      <c r="I29" s="1670"/>
    </row>
    <row r="30" spans="1:9" ht="57" customHeight="1" thickBot="1" x14ac:dyDescent="0.25">
      <c r="A30" s="1670"/>
      <c r="B30" s="1703"/>
      <c r="C30" s="1065" t="str">
        <f>F!C7</f>
        <v>A2.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v>
      </c>
      <c r="D30" s="154">
        <f>F!D7</f>
        <v>0</v>
      </c>
      <c r="E30" s="389">
        <v>1</v>
      </c>
      <c r="F30" s="187">
        <f>D30*E30</f>
        <v>0</v>
      </c>
      <c r="G30" s="300"/>
      <c r="H30" s="1670"/>
      <c r="I30" s="1670"/>
    </row>
    <row r="31" spans="1:9" ht="27" customHeight="1" thickBot="1" x14ac:dyDescent="0.25">
      <c r="A31" s="1670"/>
      <c r="B31" s="1703"/>
      <c r="C31" s="3" t="str">
        <f>F!C8</f>
        <v>B. Moss and/or lichen cover less than 25% of the ground. Soil is mineral or decomposed organic (muck). Choose between B1 and B2 and mark the choice with a 1 in their adjoining column:</v>
      </c>
      <c r="D31" s="1414"/>
      <c r="E31" s="300"/>
      <c r="F31" s="300"/>
      <c r="G31" s="300"/>
      <c r="H31" s="1670"/>
      <c r="I31" s="1670"/>
    </row>
    <row r="32" spans="1:9" ht="27" customHeight="1" x14ac:dyDescent="0.2">
      <c r="A32" s="1670"/>
      <c r="B32" s="1703"/>
      <c r="C32" s="809" t="str">
        <f>F!C9</f>
        <v>B1. Trees and shrubs taller than 1 m comprise more than 25% of the vegetated cover. Surface water is mostly absent or inundates the vegetation only seasonally (e.g., vernal pools or floodplain).</v>
      </c>
      <c r="D32" s="152">
        <f>F!D9</f>
        <v>0</v>
      </c>
      <c r="E32" s="389">
        <v>2</v>
      </c>
      <c r="F32" s="187">
        <f>D32*E32</f>
        <v>0</v>
      </c>
      <c r="G32" s="306"/>
      <c r="H32" s="1670"/>
      <c r="I32" s="1670"/>
    </row>
    <row r="33" spans="1:9" ht="42" customHeight="1" thickBot="1" x14ac:dyDescent="0.25">
      <c r="A33" s="1671"/>
      <c r="B33" s="1722"/>
      <c r="C33" s="810" t="str">
        <f>F!C10</f>
        <v>B2. Not B1.  Tree &amp; tall shrubs comprise less than than 25% of the vegetated cover.  Vegetation is mostly herbaceous, e.g., cattail, bulrush, burreed, pond lily, horsetail. Surface water may be extensive and fluctuates seasonally, being either persistent or drying up partly or entirely.</v>
      </c>
      <c r="D33" s="1416">
        <f>F!D10</f>
        <v>0</v>
      </c>
      <c r="E33" s="1069">
        <v>3</v>
      </c>
      <c r="F33" s="188">
        <f>D33*E33</f>
        <v>0</v>
      </c>
      <c r="G33" s="312"/>
      <c r="H33" s="1671"/>
      <c r="I33" s="1671"/>
    </row>
    <row r="34" spans="1:9" ht="60" customHeight="1" thickBot="1" x14ac:dyDescent="0.25">
      <c r="A34" s="624" t="str">
        <f>F!A17</f>
        <v>F3</v>
      </c>
      <c r="B34" s="624" t="str">
        <f>F!B17</f>
        <v>Woody Height &amp; Form Diversity</v>
      </c>
      <c r="C34" s="410" t="str">
        <f>F!C17</f>
        <v>Following EACH row below, indicate with a number code the percentage of the living vegetation in the AA which is occupied by that feature (6 if &gt;95%, 5 if 75-95%, 4 if 50-75%, 3 if 25-50%, 2 if 5-25%, 1 if &lt;5%, 0 if none). If the vegetated part of the AA is largely herbaceous (non-woody) vegetation, these percentages should not sum to 100%.</v>
      </c>
      <c r="D34" s="151">
        <f>MAX(F!D19,F!D10)/6</f>
        <v>0</v>
      </c>
      <c r="E34" s="1066"/>
      <c r="F34" s="201"/>
      <c r="G34" s="328">
        <f>D34</f>
        <v>0</v>
      </c>
      <c r="H34" s="624" t="s">
        <v>1343</v>
      </c>
      <c r="I34" s="36" t="s">
        <v>1662</v>
      </c>
    </row>
    <row r="35" spans="1:9" ht="21" customHeight="1" thickBot="1" x14ac:dyDescent="0.25">
      <c r="A35" s="1670" t="str">
        <f>F!A37</f>
        <v>F6</v>
      </c>
      <c r="B35" s="1669" t="str">
        <f>F!B37</f>
        <v>Height Class Interspersion</v>
      </c>
      <c r="C35" s="245" t="str">
        <f>F!C37</f>
        <v>Follow the key below and mark the ONE row that best describes MOST of the AA:</v>
      </c>
      <c r="D35" s="186"/>
      <c r="E35" s="186"/>
      <c r="F35" s="189"/>
      <c r="G35" s="328" t="str">
        <f>IF((MAX(F!D18:D21)&lt;3),"", MAX(F37:F41)/MAX(E37:E41))</f>
        <v/>
      </c>
      <c r="H35" s="1805" t="s">
        <v>1503</v>
      </c>
      <c r="I35" s="1669" t="s">
        <v>389</v>
      </c>
    </row>
    <row r="36" spans="1:9" ht="39" thickBot="1" x14ac:dyDescent="0.25">
      <c r="A36" s="1670"/>
      <c r="B36" s="1670"/>
      <c r="C36" s="3" t="str">
        <f>F!C38</f>
        <v xml:space="preserve">A. Neither the vegetation taller than 1 m nor the vegetation shorter than that comprise &gt;70% of the vegetated part of the AA.  They each comprise 30-70%.  Choose between A1 and A2 and mark the choice with a 1 in the adjoining column.  Otherwise go to B below. </v>
      </c>
      <c r="D36" s="321"/>
      <c r="E36" s="186"/>
      <c r="F36" s="200"/>
      <c r="G36" s="384"/>
      <c r="H36" s="1805"/>
      <c r="I36" s="1670"/>
    </row>
    <row r="37" spans="1:9" ht="15" customHeight="1" x14ac:dyDescent="0.2">
      <c r="A37" s="1670"/>
      <c r="B37" s="1670"/>
      <c r="C37" s="1027" t="str">
        <f>F!C39</f>
        <v>A1. The two height classes are mostly scattered and intermixed throughout the AA.</v>
      </c>
      <c r="D37" s="33">
        <f>F!D39</f>
        <v>0</v>
      </c>
      <c r="E37" s="187">
        <v>3</v>
      </c>
      <c r="F37" s="190">
        <f>D37*E37</f>
        <v>0</v>
      </c>
      <c r="G37" s="383"/>
      <c r="H37" s="1803"/>
      <c r="I37" s="1670"/>
    </row>
    <row r="38" spans="1:9" ht="27" customHeight="1" thickBot="1" x14ac:dyDescent="0.25">
      <c r="A38" s="1670"/>
      <c r="B38" s="1670"/>
      <c r="C38" s="241" t="str">
        <f>F!C40</f>
        <v>A2. Not A1.  The two height classes are mostly in separate zones or bands, or in proportionately large clumps.</v>
      </c>
      <c r="D38" s="33">
        <f>F!D40</f>
        <v>0</v>
      </c>
      <c r="E38" s="203">
        <v>2</v>
      </c>
      <c r="F38" s="190">
        <f>D38*E38</f>
        <v>0</v>
      </c>
      <c r="G38" s="384"/>
      <c r="H38" s="1803"/>
      <c r="I38" s="1670"/>
    </row>
    <row r="39" spans="1:9" ht="42" customHeight="1" thickBot="1" x14ac:dyDescent="0.25">
      <c r="A39" s="1670"/>
      <c r="B39" s="1670"/>
      <c r="C39" s="3" t="str">
        <f>F!C41</f>
        <v>B. Either the vegetation shorter than 1 m comprises &gt;70% of the vegetated part of the AA, or the vegetation taller than that does.  One size class might even be totally absent.  Choose between B1 and B2 and mark the choice with a 1 in the adjoining column:</v>
      </c>
      <c r="D39" s="203"/>
      <c r="E39" s="190"/>
      <c r="F39" s="190"/>
      <c r="G39" s="384"/>
      <c r="H39" s="1803"/>
      <c r="I39" s="1670"/>
    </row>
    <row r="40" spans="1:9" ht="15" customHeight="1" x14ac:dyDescent="0.2">
      <c r="A40" s="1670"/>
      <c r="B40" s="1670"/>
      <c r="C40" s="222" t="str">
        <f>F!C42</f>
        <v>B1. The less prevalent height class is mostly scattered and intermixed within the prevalent one.</v>
      </c>
      <c r="D40" s="13">
        <f>F!D42</f>
        <v>0</v>
      </c>
      <c r="E40" s="187">
        <v>1</v>
      </c>
      <c r="F40" s="190">
        <f>D40*E40</f>
        <v>0</v>
      </c>
      <c r="G40" s="384"/>
      <c r="H40" s="1803"/>
      <c r="I40" s="1670"/>
    </row>
    <row r="41" spans="1:9" ht="27" customHeight="1" thickBot="1" x14ac:dyDescent="0.25">
      <c r="A41" s="1670"/>
      <c r="B41" s="1671"/>
      <c r="C41" s="85" t="str">
        <f>F!C43</f>
        <v>B2. Not B1.  The less prevalent height class is mostly located apart from the prevalent one, in separate zones or clumps, or is completely absent.</v>
      </c>
      <c r="D41" s="153">
        <f>F!D43</f>
        <v>0</v>
      </c>
      <c r="E41" s="188">
        <v>0</v>
      </c>
      <c r="F41" s="190">
        <f>D41*E41</f>
        <v>0</v>
      </c>
      <c r="G41" s="384"/>
      <c r="H41" s="1803"/>
      <c r="I41" s="1671"/>
    </row>
    <row r="42" spans="1:9" ht="30" customHeight="1" thickBot="1" x14ac:dyDescent="0.25">
      <c r="A42" s="1713" t="str">
        <f>F!A63</f>
        <v>F11</v>
      </c>
      <c r="B42" s="1693" t="str">
        <f>F!B63</f>
        <v>% Bare Ground &amp; Thatch</v>
      </c>
      <c r="C42" s="240" t="str">
        <f>F!C63</f>
        <v>Consider the parts of the AA that lack surface water at the driest time of the growing season. Viewed from directly above the ground layer, the predominant condition in those areas at that time is:</v>
      </c>
      <c r="D42" s="191"/>
      <c r="E42" s="191"/>
      <c r="F42" s="192"/>
      <c r="G42" s="327">
        <f>MAX(F43:F46)/MAX(E43:E46)</f>
        <v>0</v>
      </c>
      <c r="H42" s="1669" t="s">
        <v>1554</v>
      </c>
      <c r="I42" s="1669" t="s">
        <v>395</v>
      </c>
    </row>
    <row r="43" spans="1:9" ht="42" customHeight="1" x14ac:dyDescent="0.2">
      <c r="A43" s="1714"/>
      <c r="B43" s="1696"/>
      <c r="C43" s="14" t="str">
        <f>F!C64</f>
        <v>Little or no (&lt;5%) bare ground is visible between erect stems or under canopy anywhere in the vegetated AA. Ground is extensively blanketed by dense thatch, moss, lichens, graminoids with great stem densities, or plants with ground-hugging foliage. </v>
      </c>
      <c r="D43" s="129">
        <f>F!D64</f>
        <v>0</v>
      </c>
      <c r="E43" s="187">
        <v>3</v>
      </c>
      <c r="F43" s="187">
        <f>D43*E43</f>
        <v>0</v>
      </c>
      <c r="G43" s="383"/>
      <c r="H43" s="1670"/>
      <c r="I43" s="1670"/>
    </row>
    <row r="44" spans="1:9" ht="27" customHeight="1" x14ac:dyDescent="0.2">
      <c r="A44" s="1714"/>
      <c r="B44" s="1696"/>
      <c r="C44" s="4" t="str">
        <f>F!C65</f>
        <v>Slightly bare ground (5-20% bare between plants) is visible in places, but those areas comprise less than 5% of the unflooded parts of the AA.</v>
      </c>
      <c r="D44" s="33">
        <f>F!D65</f>
        <v>0</v>
      </c>
      <c r="E44" s="187">
        <v>2</v>
      </c>
      <c r="F44" s="187">
        <f>D44*E44</f>
        <v>0</v>
      </c>
      <c r="G44" s="384"/>
      <c r="H44" s="1670"/>
      <c r="I44" s="1670"/>
    </row>
    <row r="45" spans="1:9" ht="27" customHeight="1" x14ac:dyDescent="0.2">
      <c r="A45" s="1714"/>
      <c r="B45" s="1696"/>
      <c r="C45" s="4" t="str">
        <f>F!C66</f>
        <v>Much bare ground (20-50% bare between plants) is visible in places, and those areas comprise more than 5% of the unflooded parts of the AA. </v>
      </c>
      <c r="D45" s="33">
        <f>F!D66</f>
        <v>0</v>
      </c>
      <c r="E45" s="187">
        <v>1</v>
      </c>
      <c r="F45" s="187">
        <f>D45*E45</f>
        <v>0</v>
      </c>
      <c r="G45" s="384"/>
      <c r="H45" s="1670"/>
      <c r="I45" s="1670"/>
    </row>
    <row r="46" spans="1:9" ht="15" customHeight="1" thickBot="1" x14ac:dyDescent="0.25">
      <c r="A46" s="1715"/>
      <c r="B46" s="1712"/>
      <c r="C46" s="85" t="str">
        <f>F!C67</f>
        <v>Other conditions.</v>
      </c>
      <c r="D46" s="84">
        <f>F!D67</f>
        <v>0</v>
      </c>
      <c r="E46" s="188">
        <v>0</v>
      </c>
      <c r="F46" s="188">
        <f>D46*E46</f>
        <v>0</v>
      </c>
      <c r="G46" s="385"/>
      <c r="H46" s="1671"/>
      <c r="I46" s="1671"/>
    </row>
    <row r="47" spans="1:9" ht="60" customHeight="1" thickBot="1" x14ac:dyDescent="0.25">
      <c r="A47" s="1713" t="str">
        <f>F!A69</f>
        <v>F12</v>
      </c>
      <c r="B47" s="1693" t="str">
        <f>F!B69</f>
        <v xml:space="preserve">Ground Irregularity </v>
      </c>
      <c r="C47" s="240" t="str">
        <f>F!C69</f>
        <v>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v>
      </c>
      <c r="D47" s="191"/>
      <c r="E47" s="191"/>
      <c r="F47" s="192"/>
      <c r="G47" s="327">
        <f>MAX(F48:F50)/MAX(E48:E50)</f>
        <v>0</v>
      </c>
      <c r="H47" s="1693" t="s">
        <v>596</v>
      </c>
      <c r="I47" s="1669" t="s">
        <v>396</v>
      </c>
    </row>
    <row r="48" spans="1:9" ht="27" customHeight="1" x14ac:dyDescent="0.2">
      <c r="A48" s="1714"/>
      <c r="B48" s="1696"/>
      <c r="C48" s="14" t="str">
        <f>F!C70</f>
        <v>Few or none (minimal microtopography; &lt;1% of the land has such features, or entire AA is always water-covered).</v>
      </c>
      <c r="D48" s="129">
        <f>F!D70</f>
        <v>0</v>
      </c>
      <c r="E48" s="187">
        <v>0</v>
      </c>
      <c r="F48" s="187">
        <f>D48*E48</f>
        <v>0</v>
      </c>
      <c r="G48" s="383"/>
      <c r="H48" s="1696"/>
      <c r="I48" s="1670"/>
    </row>
    <row r="49" spans="1:9" ht="15" customHeight="1" x14ac:dyDescent="0.2">
      <c r="A49" s="1714"/>
      <c r="B49" s="1696"/>
      <c r="C49" s="4" t="str">
        <f>F!C71</f>
        <v>Intermediate.</v>
      </c>
      <c r="D49" s="33">
        <f>F!D71</f>
        <v>0</v>
      </c>
      <c r="E49" s="187">
        <v>2</v>
      </c>
      <c r="F49" s="187">
        <f>D49*E49</f>
        <v>0</v>
      </c>
      <c r="G49" s="384"/>
      <c r="H49" s="1696"/>
      <c r="I49" s="1670"/>
    </row>
    <row r="50" spans="1:9" ht="15" customHeight="1" thickBot="1" x14ac:dyDescent="0.25">
      <c r="A50" s="1715"/>
      <c r="B50" s="1712"/>
      <c r="C50" s="85" t="str">
        <f>F!C72</f>
        <v>Several (extensive micro-topography).</v>
      </c>
      <c r="D50" s="84">
        <f>F!D72</f>
        <v>0</v>
      </c>
      <c r="E50" s="188">
        <v>3</v>
      </c>
      <c r="F50" s="188">
        <f>D50*E50</f>
        <v>0</v>
      </c>
      <c r="G50" s="385"/>
      <c r="H50" s="1712"/>
      <c r="I50" s="1671"/>
    </row>
    <row r="51" spans="1:9" ht="21" customHeight="1" thickBot="1" x14ac:dyDescent="0.25">
      <c r="A51" s="1713" t="str">
        <f>F!A73</f>
        <v>F13</v>
      </c>
      <c r="B51" s="1693" t="str">
        <f>F!B73</f>
        <v>Upland Inclusions</v>
      </c>
      <c r="C51" s="240" t="str">
        <f>F!C73</f>
        <v>Within the AA, inclusions of upland are:</v>
      </c>
      <c r="D51" s="191"/>
      <c r="E51" s="191"/>
      <c r="F51" s="192"/>
      <c r="G51" s="327">
        <f>IF((D52=1),"", MAX(F52:F54)/MAX(E52:E54))</f>
        <v>0</v>
      </c>
      <c r="H51" s="1693" t="s">
        <v>597</v>
      </c>
      <c r="I51" s="1669" t="s">
        <v>397</v>
      </c>
    </row>
    <row r="52" spans="1:9" ht="15" customHeight="1" x14ac:dyDescent="0.2">
      <c r="A52" s="1714"/>
      <c r="B52" s="1696"/>
      <c r="C52" s="14" t="str">
        <f>F!C74</f>
        <v>Few or none.</v>
      </c>
      <c r="D52" s="129">
        <f>F!D74</f>
        <v>0</v>
      </c>
      <c r="E52" s="187">
        <v>0</v>
      </c>
      <c r="F52" s="187">
        <f>D52*E52</f>
        <v>0</v>
      </c>
      <c r="G52" s="383"/>
      <c r="H52" s="1696"/>
      <c r="I52" s="1670"/>
    </row>
    <row r="53" spans="1:9" ht="15" customHeight="1" x14ac:dyDescent="0.2">
      <c r="A53" s="1714"/>
      <c r="B53" s="1696"/>
      <c r="C53" s="4" t="str">
        <f>F!C75</f>
        <v>Intermediate (1 - 10% of vegetated part of the AA).</v>
      </c>
      <c r="D53" s="33">
        <f>F!D75</f>
        <v>0</v>
      </c>
      <c r="E53" s="187">
        <v>1</v>
      </c>
      <c r="F53" s="187">
        <f>D53*E53</f>
        <v>0</v>
      </c>
      <c r="G53" s="392"/>
      <c r="H53" s="1696"/>
      <c r="I53" s="1670"/>
    </row>
    <row r="54" spans="1:9" ht="15" customHeight="1" thickBot="1" x14ac:dyDescent="0.25">
      <c r="A54" s="1715"/>
      <c r="B54" s="1712"/>
      <c r="C54" s="85" t="str">
        <f>F!C76</f>
        <v>Many (e.g., wetland-upland "mosaic", &gt;10% of the vegetated AA).</v>
      </c>
      <c r="D54" s="84">
        <f>F!D76</f>
        <v>0</v>
      </c>
      <c r="E54" s="188">
        <v>2</v>
      </c>
      <c r="F54" s="188">
        <f>D54*E54</f>
        <v>0</v>
      </c>
      <c r="G54" s="385"/>
      <c r="H54" s="1712"/>
      <c r="I54" s="1671"/>
    </row>
    <row r="55" spans="1:9" ht="45" customHeight="1" thickBot="1" x14ac:dyDescent="0.25">
      <c r="A55" s="1940" t="str">
        <f>F!A77</f>
        <v>F14</v>
      </c>
      <c r="B55" s="1696" t="str">
        <f>F!B77</f>
        <v>Soil Texture</v>
      </c>
      <c r="C55" s="245" t="str">
        <f>F!C77</f>
        <v xml:space="preserve">In parts of the AA that lack persistent water, the texture of soil in the uppermost layer is mostly:  [To determine this, use a trowel to check in at least 3 widely spaced locations, and use the soil texture key (in Appendix A of the Manual).] </v>
      </c>
      <c r="D55" s="186"/>
      <c r="E55" s="186"/>
      <c r="F55" s="189"/>
      <c r="G55" s="328">
        <f>MAX(F56:F60)/MAX(E56:E60)</f>
        <v>0</v>
      </c>
      <c r="H55" s="1696" t="s">
        <v>1364</v>
      </c>
      <c r="I55" s="1669" t="s">
        <v>398</v>
      </c>
    </row>
    <row r="56" spans="1:9" ht="27" customHeight="1" x14ac:dyDescent="0.2">
      <c r="A56" s="1940"/>
      <c r="B56" s="1696"/>
      <c r="C56" s="14" t="str">
        <f>F!C78</f>
        <v>Loamy: soils that may contain a little fine grit and do not make a "ribbon" longer than 2 cm when moistened, rolled, squeezed, and extended between thumb and forefinger.</v>
      </c>
      <c r="D56" s="129">
        <f>F!D78</f>
        <v>0</v>
      </c>
      <c r="E56" s="187">
        <v>4</v>
      </c>
      <c r="F56" s="187">
        <f>D56*E56</f>
        <v>0</v>
      </c>
      <c r="G56" s="383"/>
      <c r="H56" s="1696"/>
      <c r="I56" s="1670"/>
    </row>
    <row r="57" spans="1:9" ht="27" customHeight="1" x14ac:dyDescent="0.2">
      <c r="A57" s="1940"/>
      <c r="B57" s="1696"/>
      <c r="C57" s="4" t="str">
        <f>F!C79</f>
        <v>Fines: includes silt, clay, silt, soils that make a ribbon longer than 2 cm when moistened, rolled, squeezed, and extended between thumb and forefinger.</v>
      </c>
      <c r="D57" s="33">
        <f>F!D79</f>
        <v>0</v>
      </c>
      <c r="E57" s="187">
        <v>3</v>
      </c>
      <c r="F57" s="187">
        <f>D57*E57</f>
        <v>0</v>
      </c>
      <c r="G57" s="384"/>
      <c r="H57" s="1696"/>
      <c r="I57" s="1670"/>
    </row>
    <row r="58" spans="1:9" ht="18" customHeight="1" x14ac:dyDescent="0.2">
      <c r="A58" s="1940"/>
      <c r="B58" s="1696"/>
      <c r="C58" s="4" t="str">
        <f>F!C80</f>
        <v>Deep Peat, to 40 cm depth or greater.</v>
      </c>
      <c r="D58" s="33">
        <f>F!D80</f>
        <v>0</v>
      </c>
      <c r="E58" s="187">
        <v>2</v>
      </c>
      <c r="F58" s="187">
        <f>D58*E58</f>
        <v>0</v>
      </c>
      <c r="G58" s="384"/>
      <c r="H58" s="1696"/>
      <c r="I58" s="1670"/>
    </row>
    <row r="59" spans="1:9" ht="18" customHeight="1" x14ac:dyDescent="0.2">
      <c r="A59" s="1940"/>
      <c r="B59" s="1696"/>
      <c r="C59" s="4" t="str">
        <f>F!C81</f>
        <v xml:space="preserve">Shallow Peat or organic &lt;40 cm deep. </v>
      </c>
      <c r="D59" s="33">
        <f>F!D81</f>
        <v>0</v>
      </c>
      <c r="E59" s="187">
        <v>3</v>
      </c>
      <c r="F59" s="187">
        <f>D59*E59</f>
        <v>0</v>
      </c>
      <c r="G59" s="391"/>
      <c r="H59" s="1696"/>
      <c r="I59" s="1670"/>
    </row>
    <row r="60" spans="1:9" ht="27.6" customHeight="1" thickBot="1" x14ac:dyDescent="0.25">
      <c r="A60" s="1940"/>
      <c r="B60" s="1696"/>
      <c r="C60" s="241" t="str">
        <f>F!C82</f>
        <v>Coarse: includes sand, loamy sand, gravel, cobble, soils that do not make a ribbon when moistened, rolled, squeezed, and extended between thumb and forefinger.</v>
      </c>
      <c r="D60" s="128">
        <f>F!D82</f>
        <v>0</v>
      </c>
      <c r="E60" s="190">
        <v>1</v>
      </c>
      <c r="F60" s="190">
        <f>D60*E60</f>
        <v>0</v>
      </c>
      <c r="G60" s="391"/>
      <c r="H60" s="1696"/>
      <c r="I60" s="1671"/>
    </row>
    <row r="61" spans="1:9" ht="30" customHeight="1" thickBot="1" x14ac:dyDescent="0.25">
      <c r="A61" s="1721" t="str">
        <f>F!A121</f>
        <v>F24</v>
      </c>
      <c r="B61" s="1669" t="str">
        <f>F!B121</f>
        <v>% of AA Without Surface Water</v>
      </c>
      <c r="C61" s="3" t="str">
        <f>F!C121</f>
        <v>The percentage of the AA that never contains surface water during an average year (that is, except perhaps for a few hours after snowmelt or rainstorms), but which is still a wetland, is:</v>
      </c>
      <c r="D61" s="191" t="s">
        <v>912</v>
      </c>
      <c r="E61" s="705"/>
      <c r="F61" s="390"/>
      <c r="G61" s="327">
        <f>MAX(F62:F67)/MAX(E62:E67)</f>
        <v>0</v>
      </c>
      <c r="H61" s="1669" t="s">
        <v>664</v>
      </c>
      <c r="I61" s="1669" t="s">
        <v>977</v>
      </c>
    </row>
    <row r="62" spans="1:9" ht="15" customHeight="1" x14ac:dyDescent="0.2">
      <c r="A62" s="1703"/>
      <c r="B62" s="1670"/>
      <c r="C62" s="14" t="str">
        <f>F!C122</f>
        <v xml:space="preserve">&lt;1% . In other words, all or nearly all of the AA is covered by water permanently or at least seasonally.  </v>
      </c>
      <c r="D62" s="129">
        <f>F!D122</f>
        <v>0</v>
      </c>
      <c r="E62" s="211">
        <v>5</v>
      </c>
      <c r="F62" s="187">
        <f t="shared" ref="F62:F67" si="1">D62*E62</f>
        <v>0</v>
      </c>
      <c r="G62" s="384"/>
      <c r="H62" s="1670"/>
      <c r="I62" s="1670"/>
    </row>
    <row r="63" spans="1:9" ht="15" customHeight="1" x14ac:dyDescent="0.2">
      <c r="A63" s="1703"/>
      <c r="B63" s="1670"/>
      <c r="C63" s="14" t="str">
        <f>F!C123</f>
        <v>1-25% of the AA,  or &lt;1% but &gt;0.01 ha never contains surface water.</v>
      </c>
      <c r="D63" s="129">
        <f>F!D123</f>
        <v>0</v>
      </c>
      <c r="E63" s="211">
        <v>6</v>
      </c>
      <c r="F63" s="187">
        <f t="shared" si="1"/>
        <v>0</v>
      </c>
      <c r="G63" s="384"/>
      <c r="H63" s="1670"/>
      <c r="I63" s="1670"/>
    </row>
    <row r="64" spans="1:9" ht="15" customHeight="1" x14ac:dyDescent="0.2">
      <c r="A64" s="1703"/>
      <c r="B64" s="1670"/>
      <c r="C64" s="14" t="str">
        <f>F!C124</f>
        <v>25-50% of the AA never contains surface water.</v>
      </c>
      <c r="D64" s="129">
        <f>F!D124</f>
        <v>0</v>
      </c>
      <c r="E64" s="211">
        <v>4</v>
      </c>
      <c r="F64" s="187">
        <f t="shared" si="1"/>
        <v>0</v>
      </c>
      <c r="G64" s="384"/>
      <c r="H64" s="1670"/>
      <c r="I64" s="1670"/>
    </row>
    <row r="65" spans="1:9" ht="15" customHeight="1" x14ac:dyDescent="0.2">
      <c r="A65" s="1703"/>
      <c r="B65" s="1670"/>
      <c r="C65" s="14" t="str">
        <f>F!C125</f>
        <v>50-75% of the AA never contains surface water.</v>
      </c>
      <c r="D65" s="129">
        <f>F!D125</f>
        <v>0</v>
      </c>
      <c r="E65" s="211">
        <v>3</v>
      </c>
      <c r="F65" s="187">
        <f t="shared" si="1"/>
        <v>0</v>
      </c>
      <c r="G65" s="384"/>
      <c r="H65" s="1670"/>
      <c r="I65" s="1670"/>
    </row>
    <row r="66" spans="1:9" ht="15" customHeight="1" x14ac:dyDescent="0.2">
      <c r="A66" s="1703"/>
      <c r="B66" s="1670"/>
      <c r="C66" s="14" t="str">
        <f>F!C126</f>
        <v>75-99% of the AA never contains surface water, OR &gt;99% and there is at least one persistently ponded water body larger than 1 ha in the AA.</v>
      </c>
      <c r="D66" s="129">
        <f>F!D126</f>
        <v>0</v>
      </c>
      <c r="E66" s="211">
        <v>2</v>
      </c>
      <c r="F66" s="187">
        <f t="shared" si="1"/>
        <v>0</v>
      </c>
      <c r="G66" s="384"/>
      <c r="H66" s="1670"/>
      <c r="I66" s="1670"/>
    </row>
    <row r="67" spans="1:9" ht="27" customHeight="1" thickBot="1" x14ac:dyDescent="0.25">
      <c r="A67" s="1722"/>
      <c r="B67" s="1671"/>
      <c r="C67" s="381" t="str">
        <f>F!C127</f>
        <v>99-100%. AND there is no persistently ponded water body larger than 1 ha within the AA. Enter "1" and SKIP to F42 (Channel Connection).</v>
      </c>
      <c r="D67" s="151">
        <f>F!D127</f>
        <v>0</v>
      </c>
      <c r="E67" s="215">
        <v>1</v>
      </c>
      <c r="F67" s="188">
        <f t="shared" si="1"/>
        <v>0</v>
      </c>
      <c r="G67" s="385"/>
      <c r="H67" s="1671"/>
      <c r="I67" s="1671"/>
    </row>
    <row r="68" spans="1:9" ht="45" customHeight="1" thickBot="1" x14ac:dyDescent="0.25">
      <c r="A68" s="1721" t="str">
        <f>F!A128</f>
        <v>F25</v>
      </c>
      <c r="B68" s="1669" t="str">
        <f>F!B128</f>
        <v>% of AA with Persistent Surface Water</v>
      </c>
      <c r="C68" s="240" t="str">
        <f>F!C128</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68" s="191"/>
      <c r="E68" s="191"/>
      <c r="F68" s="192"/>
      <c r="G68" s="327">
        <f>IF((AllSat1&gt;0),"", MAX(F69:F73)/MAX(E69:E73))</f>
        <v>0</v>
      </c>
      <c r="H68" s="1693" t="s">
        <v>1821</v>
      </c>
      <c r="I68" s="1669" t="s">
        <v>384</v>
      </c>
    </row>
    <row r="69" spans="1:9" ht="27" customHeight="1" x14ac:dyDescent="0.2">
      <c r="A69" s="1703"/>
      <c r="B69" s="1670"/>
      <c r="C69" s="241" t="str">
        <f>F!C129</f>
        <v>None. The AA dries up completely (no water in channels either) or never has surface water during most years.  SKIP to F27.</v>
      </c>
      <c r="D69" s="128">
        <f>F!D129</f>
        <v>0</v>
      </c>
      <c r="E69" s="186">
        <v>0</v>
      </c>
      <c r="F69" s="187">
        <f>D69*E69</f>
        <v>0</v>
      </c>
      <c r="G69" s="384"/>
      <c r="H69" s="1696"/>
      <c r="I69" s="1670"/>
    </row>
    <row r="70" spans="1:9" ht="15" customHeight="1" x14ac:dyDescent="0.2">
      <c r="A70" s="1703"/>
      <c r="B70" s="1670"/>
      <c r="C70" s="241" t="str">
        <f>F!C130</f>
        <v>1-20% of the AA.</v>
      </c>
      <c r="D70" s="128">
        <f>F!D130</f>
        <v>0</v>
      </c>
      <c r="E70" s="35">
        <v>1</v>
      </c>
      <c r="F70" s="187">
        <f>D70*E70</f>
        <v>0</v>
      </c>
      <c r="G70" s="383"/>
      <c r="H70" s="1696"/>
      <c r="I70" s="1670"/>
    </row>
    <row r="71" spans="1:9" ht="15" customHeight="1" x14ac:dyDescent="0.2">
      <c r="A71" s="1703"/>
      <c r="B71" s="1670"/>
      <c r="C71" s="241" t="str">
        <f>F!C131</f>
        <v>20-50% of the AA.</v>
      </c>
      <c r="D71" s="128">
        <f>F!D131</f>
        <v>0</v>
      </c>
      <c r="E71" s="35">
        <v>3</v>
      </c>
      <c r="F71" s="187">
        <f>D71*E71</f>
        <v>0</v>
      </c>
      <c r="G71" s="384"/>
      <c r="H71" s="1696"/>
      <c r="I71" s="1670"/>
    </row>
    <row r="72" spans="1:9" ht="15" customHeight="1" x14ac:dyDescent="0.2">
      <c r="A72" s="1703"/>
      <c r="B72" s="1670"/>
      <c r="C72" s="241" t="str">
        <f>F!C132</f>
        <v>50-95% of the AA.</v>
      </c>
      <c r="D72" s="128">
        <f>F!D132</f>
        <v>0</v>
      </c>
      <c r="E72" s="35">
        <v>4</v>
      </c>
      <c r="F72" s="187">
        <f>D72*E72</f>
        <v>0</v>
      </c>
      <c r="G72" s="384"/>
      <c r="H72" s="1696"/>
      <c r="I72" s="1670"/>
    </row>
    <row r="73" spans="1:9" ht="15" customHeight="1" thickBot="1" x14ac:dyDescent="0.25">
      <c r="A73" s="1722"/>
      <c r="B73" s="1671"/>
      <c r="C73" s="85" t="str">
        <f>F!C133</f>
        <v>&gt;95% of the AA. True for many fringe wetlands.</v>
      </c>
      <c r="D73" s="84">
        <f>F!D133</f>
        <v>0</v>
      </c>
      <c r="E73" s="112">
        <v>2</v>
      </c>
      <c r="F73" s="188">
        <f>D73*E73</f>
        <v>0</v>
      </c>
      <c r="G73" s="385"/>
      <c r="H73" s="1712"/>
      <c r="I73" s="1671"/>
    </row>
    <row r="74" spans="1:9" ht="36" customHeight="1" thickBot="1" x14ac:dyDescent="0.25">
      <c r="A74" s="1721" t="str">
        <f>F!A140</f>
        <v>F27</v>
      </c>
      <c r="B74" s="1669" t="str">
        <f>F!B140</f>
        <v>% of AA that is Flooded Only Seasonally</v>
      </c>
      <c r="C74" s="240" t="str">
        <f>F!C140</f>
        <v>The percentage of the AA's area that is between the annual high water and the annual low water (surface water) is:</v>
      </c>
      <c r="D74" s="191"/>
      <c r="E74" s="191"/>
      <c r="F74" s="192"/>
      <c r="G74" s="327">
        <f>IF((AllSat1&gt;0),"",MAX(F75:F79)/MAX(E75:E79))</f>
        <v>0</v>
      </c>
      <c r="H74" s="1693" t="s">
        <v>1822</v>
      </c>
      <c r="I74" s="1669" t="s">
        <v>383</v>
      </c>
    </row>
    <row r="75" spans="1:9" ht="15" customHeight="1" x14ac:dyDescent="0.2">
      <c r="A75" s="1703"/>
      <c r="B75" s="1670"/>
      <c r="C75" s="222" t="str">
        <f>F!C141</f>
        <v>None, or &lt;0.01 hectare and &lt;1% of the AA.  SKIP to F29.</v>
      </c>
      <c r="D75" s="183">
        <f>F!D141</f>
        <v>0</v>
      </c>
      <c r="E75" s="35">
        <v>0</v>
      </c>
      <c r="F75" s="187">
        <f>D75*E75</f>
        <v>0</v>
      </c>
      <c r="G75" s="383"/>
      <c r="H75" s="1696"/>
      <c r="I75" s="1670"/>
    </row>
    <row r="76" spans="1:9" ht="15" customHeight="1" x14ac:dyDescent="0.2">
      <c r="A76" s="1703"/>
      <c r="B76" s="1670"/>
      <c r="C76" s="241" t="str">
        <f>F!C142</f>
        <v>1-20% of the AA, or &lt;1% but &gt;0.01 ha.</v>
      </c>
      <c r="D76" s="128">
        <f>F!D142</f>
        <v>0</v>
      </c>
      <c r="E76" s="35">
        <v>1</v>
      </c>
      <c r="F76" s="187">
        <f>D76*E76</f>
        <v>0</v>
      </c>
      <c r="G76" s="384"/>
      <c r="H76" s="1696"/>
      <c r="I76" s="1670"/>
    </row>
    <row r="77" spans="1:9" ht="15" customHeight="1" x14ac:dyDescent="0.2">
      <c r="A77" s="1703"/>
      <c r="B77" s="1670"/>
      <c r="C77" s="241" t="str">
        <f>F!C143</f>
        <v>20-50% of the AA.</v>
      </c>
      <c r="D77" s="128">
        <f>F!D143</f>
        <v>0</v>
      </c>
      <c r="E77" s="35">
        <v>2</v>
      </c>
      <c r="F77" s="187">
        <f>D77*E77</f>
        <v>0</v>
      </c>
      <c r="G77" s="384"/>
      <c r="H77" s="1696"/>
      <c r="I77" s="1670"/>
    </row>
    <row r="78" spans="1:9" ht="15" customHeight="1" x14ac:dyDescent="0.2">
      <c r="A78" s="1703"/>
      <c r="B78" s="1670"/>
      <c r="C78" s="241" t="str">
        <f>F!C144</f>
        <v>50-95% of the AA.</v>
      </c>
      <c r="D78" s="128">
        <f>F!D144</f>
        <v>0</v>
      </c>
      <c r="E78" s="35">
        <v>4</v>
      </c>
      <c r="F78" s="187">
        <f>D78*E78</f>
        <v>0</v>
      </c>
      <c r="G78" s="384"/>
      <c r="H78" s="1696"/>
      <c r="I78" s="1670"/>
    </row>
    <row r="79" spans="1:9" ht="15" customHeight="1" thickBot="1" x14ac:dyDescent="0.25">
      <c r="A79" s="1722"/>
      <c r="B79" s="1671"/>
      <c r="C79" s="85" t="str">
        <f>F!C145</f>
        <v xml:space="preserve">&gt;95% of the AA. </v>
      </c>
      <c r="D79" s="84">
        <f>F!D145</f>
        <v>0</v>
      </c>
      <c r="E79" s="112">
        <v>3</v>
      </c>
      <c r="F79" s="188">
        <f>D79*E79</f>
        <v>0</v>
      </c>
      <c r="G79" s="385"/>
      <c r="H79" s="1712"/>
      <c r="I79" s="1671"/>
    </row>
    <row r="80" spans="1:9" ht="30" customHeight="1" thickBot="1" x14ac:dyDescent="0.25">
      <c r="A80" s="1864" t="str">
        <f>F!A146</f>
        <v>F28</v>
      </c>
      <c r="B80" s="1937" t="str">
        <f>F!B146</f>
        <v>Annual Water Fluctuation Range</v>
      </c>
      <c r="C80" s="245" t="str">
        <f>F!C146</f>
        <v>The annual fluctuation in surface water level within most of the parts of the AA that contain surface water at least temporarily is:</v>
      </c>
      <c r="D80" s="191"/>
      <c r="E80" s="186"/>
      <c r="F80" s="189"/>
      <c r="G80" s="400">
        <f>IF((AllSat1&gt;0),"", IF((NoSeasonal=1),"",MAX(F81:F85)/MAX(E81:E85)))</f>
        <v>0</v>
      </c>
      <c r="H80" s="1696" t="s">
        <v>1823</v>
      </c>
      <c r="I80" s="1669" t="s">
        <v>386</v>
      </c>
    </row>
    <row r="81" spans="1:9" ht="15" customHeight="1" x14ac:dyDescent="0.2">
      <c r="A81" s="1950"/>
      <c r="B81" s="1938"/>
      <c r="C81" s="14" t="str">
        <f>F!C147</f>
        <v>&lt;10 cm change (stable or nearly so).</v>
      </c>
      <c r="D81" s="129">
        <f>F!D147</f>
        <v>0</v>
      </c>
      <c r="E81" s="35">
        <v>0</v>
      </c>
      <c r="F81" s="187">
        <f>D81*E81</f>
        <v>0</v>
      </c>
      <c r="G81" s="383"/>
      <c r="H81" s="1696"/>
      <c r="I81" s="1670"/>
    </row>
    <row r="82" spans="1:9" ht="15" customHeight="1" x14ac:dyDescent="0.2">
      <c r="A82" s="1950"/>
      <c r="B82" s="1938"/>
      <c r="C82" s="4" t="str">
        <f>F!C148</f>
        <v>10 cm - 50 cm change.</v>
      </c>
      <c r="D82" s="33">
        <f>F!D148</f>
        <v>0</v>
      </c>
      <c r="E82" s="35">
        <v>2</v>
      </c>
      <c r="F82" s="187">
        <f>D82*E82</f>
        <v>0</v>
      </c>
      <c r="G82" s="384"/>
      <c r="H82" s="1696"/>
      <c r="I82" s="1670"/>
    </row>
    <row r="83" spans="1:9" ht="15" customHeight="1" x14ac:dyDescent="0.2">
      <c r="A83" s="1950"/>
      <c r="B83" s="1938"/>
      <c r="C83" s="4" t="str">
        <f>F!C149</f>
        <v>0.5 - 1 m change.</v>
      </c>
      <c r="D83" s="33">
        <f>F!D149</f>
        <v>0</v>
      </c>
      <c r="E83" s="35">
        <v>3</v>
      </c>
      <c r="F83" s="187">
        <f>D83*E83</f>
        <v>0</v>
      </c>
      <c r="G83" s="384"/>
      <c r="H83" s="1696"/>
      <c r="I83" s="1670"/>
    </row>
    <row r="84" spans="1:9" ht="15" customHeight="1" x14ac:dyDescent="0.2">
      <c r="A84" s="1951"/>
      <c r="B84" s="1939"/>
      <c r="C84" s="4" t="str">
        <f>F!C150</f>
        <v>1-2 m change.</v>
      </c>
      <c r="D84" s="33">
        <f>F!D150</f>
        <v>0</v>
      </c>
      <c r="E84" s="34">
        <v>4</v>
      </c>
      <c r="F84" s="190">
        <f>D84*E84</f>
        <v>0</v>
      </c>
      <c r="G84" s="391"/>
      <c r="H84" s="1696"/>
      <c r="I84" s="1670"/>
    </row>
    <row r="85" spans="1:9" ht="15" customHeight="1" thickBot="1" x14ac:dyDescent="0.25">
      <c r="A85" s="1951"/>
      <c r="B85" s="1939"/>
      <c r="C85" s="4" t="str">
        <f>F!C151</f>
        <v>&gt;2 m change.</v>
      </c>
      <c r="D85" s="33">
        <f>F!D151</f>
        <v>0</v>
      </c>
      <c r="E85" s="34">
        <v>5</v>
      </c>
      <c r="F85" s="190">
        <f>D85*E85</f>
        <v>0</v>
      </c>
      <c r="G85" s="391"/>
      <c r="H85" s="1696"/>
      <c r="I85" s="1670"/>
    </row>
    <row r="86" spans="1:9" ht="45" customHeight="1" thickBot="1" x14ac:dyDescent="0.25">
      <c r="A86" s="1721" t="str">
        <f>F!A163</f>
        <v>F31</v>
      </c>
      <c r="B86" s="1669" t="str">
        <f>F!B163</f>
        <v>% of Water That Is Ponded (not Flowing)</v>
      </c>
      <c r="C86" s="240" t="str">
        <f>F!C163</f>
        <v>During most times when surface water is present, the percentage that is (1) ponded (stagnant, or flows so slowly that fine sediment is not held in suspension) AND (2) is likely to be deeper than 0.5 m in some places, is:</v>
      </c>
      <c r="D86" s="191"/>
      <c r="E86" s="110"/>
      <c r="F86" s="192"/>
      <c r="G86" s="327">
        <f>IF((AllSat1&gt;0),"", MAX(F87:F91)/MAX(E87:E91))</f>
        <v>0</v>
      </c>
      <c r="H86" s="1669" t="s">
        <v>1820</v>
      </c>
      <c r="I86" s="1669" t="s">
        <v>1055</v>
      </c>
    </row>
    <row r="87" spans="1:9" ht="15" customHeight="1" x14ac:dyDescent="0.2">
      <c r="A87" s="1703"/>
      <c r="B87" s="1670"/>
      <c r="C87" s="14" t="str">
        <f>F!C164</f>
        <v>&lt;5% of the water, or it occupies &lt;100 sq.m cumulatively. Nearly all the surface water is flowing. SKIP to F34.</v>
      </c>
      <c r="D87" s="145">
        <f>F!D164</f>
        <v>0</v>
      </c>
      <c r="E87" s="35">
        <v>0</v>
      </c>
      <c r="F87" s="187">
        <f>D87*E87</f>
        <v>0</v>
      </c>
      <c r="G87" s="384"/>
      <c r="H87" s="1670"/>
      <c r="I87" s="1670"/>
    </row>
    <row r="88" spans="1:9" ht="15" customHeight="1" x14ac:dyDescent="0.2">
      <c r="A88" s="1703"/>
      <c r="B88" s="1670"/>
      <c r="C88" s="4" t="str">
        <f>F!C165</f>
        <v>5-30% of the water.</v>
      </c>
      <c r="D88" s="146">
        <f>F!D165</f>
        <v>0</v>
      </c>
      <c r="E88" s="35">
        <v>1</v>
      </c>
      <c r="F88" s="187">
        <f>D88*E88</f>
        <v>0</v>
      </c>
      <c r="G88" s="384"/>
      <c r="H88" s="1670"/>
      <c r="I88" s="1670"/>
    </row>
    <row r="89" spans="1:9" ht="15" customHeight="1" x14ac:dyDescent="0.2">
      <c r="A89" s="1703"/>
      <c r="B89" s="1670"/>
      <c r="C89" s="4" t="str">
        <f>F!C166</f>
        <v>30-70% of the water.</v>
      </c>
      <c r="D89" s="146">
        <f>F!D166</f>
        <v>0</v>
      </c>
      <c r="E89" s="35">
        <v>2</v>
      </c>
      <c r="F89" s="187">
        <f>D89*E89</f>
        <v>0</v>
      </c>
      <c r="G89" s="384"/>
      <c r="H89" s="1670"/>
      <c r="I89" s="1670"/>
    </row>
    <row r="90" spans="1:9" ht="15" customHeight="1" x14ac:dyDescent="0.2">
      <c r="A90" s="1703"/>
      <c r="B90" s="1670"/>
      <c r="C90" s="4" t="str">
        <f>F!C167</f>
        <v>70-95% of the water.</v>
      </c>
      <c r="D90" s="146">
        <f>F!D167</f>
        <v>0</v>
      </c>
      <c r="E90" s="35">
        <v>3</v>
      </c>
      <c r="F90" s="187">
        <f>D90*E90</f>
        <v>0</v>
      </c>
      <c r="G90" s="384"/>
      <c r="H90" s="1670"/>
      <c r="I90" s="1670"/>
    </row>
    <row r="91" spans="1:9" ht="15" customHeight="1" thickBot="1" x14ac:dyDescent="0.25">
      <c r="A91" s="1722"/>
      <c r="B91" s="1671"/>
      <c r="C91" s="85" t="str">
        <f>F!C168</f>
        <v>&gt;95% of the water.</v>
      </c>
      <c r="D91" s="147">
        <f>F!D168</f>
        <v>0</v>
      </c>
      <c r="E91" s="112">
        <v>4</v>
      </c>
      <c r="F91" s="188">
        <f>D91*E91</f>
        <v>0</v>
      </c>
      <c r="G91" s="385"/>
      <c r="H91" s="1671"/>
      <c r="I91" s="1671"/>
    </row>
    <row r="92" spans="1:9" ht="30" customHeight="1" thickBot="1" x14ac:dyDescent="0.25">
      <c r="A92" s="1893" t="str">
        <f>F!A170</f>
        <v>F33</v>
      </c>
      <c r="B92" s="1670" t="str">
        <f>F!B170</f>
        <v xml:space="preserve">% of Ponded Water that is Open </v>
      </c>
      <c r="C92" s="787" t="str">
        <f>F!C170</f>
        <v>In ducks-eye aerial view, the percentage of the ponded water that is open (lacking emergent vegetation during most of the growing season, and unhidden by a forest or shrub canopy) is:</v>
      </c>
      <c r="D92" s="205"/>
      <c r="E92" s="186"/>
      <c r="F92" s="189"/>
      <c r="G92" s="328">
        <f>IF((AllSat1&gt;0),"",IF((NoPonded=1),"",MAX(F93:F98)/MAX(E93:E98)))</f>
        <v>0</v>
      </c>
      <c r="H92" s="1670" t="s">
        <v>1824</v>
      </c>
      <c r="I92" s="1670" t="s">
        <v>385</v>
      </c>
    </row>
    <row r="93" spans="1:9" ht="27" customHeight="1" x14ac:dyDescent="0.2">
      <c r="A93" s="1893"/>
      <c r="B93" s="1670"/>
      <c r="C93" s="222" t="str">
        <f>F!C171</f>
        <v>None, or &lt;1% of the AA and largest pool occupies &lt;0.01 hectares. Enter "1" and SKIP to F41 (Floating Algae &amp; Duckweed).</v>
      </c>
      <c r="D93" s="128">
        <f>F!D171</f>
        <v>0</v>
      </c>
      <c r="E93" s="187">
        <v>5</v>
      </c>
      <c r="F93" s="187">
        <f t="shared" ref="F93:F98" si="2">D93*E93</f>
        <v>0</v>
      </c>
      <c r="G93" s="383"/>
      <c r="H93" s="1670"/>
      <c r="I93" s="1670"/>
    </row>
    <row r="94" spans="1:9" ht="15" customHeight="1" x14ac:dyDescent="0.2">
      <c r="A94" s="1893"/>
      <c r="B94" s="1670"/>
      <c r="C94" s="241" t="str">
        <f>F!C172</f>
        <v>1-4% of the ponded water. Enter "1" and SKIP to F41 (Floating Algae &amp; Duckweed).</v>
      </c>
      <c r="D94" s="128">
        <f>F!D172</f>
        <v>0</v>
      </c>
      <c r="E94" s="187">
        <v>4</v>
      </c>
      <c r="F94" s="187">
        <f t="shared" si="2"/>
        <v>0</v>
      </c>
      <c r="G94" s="384"/>
      <c r="H94" s="1670"/>
      <c r="I94" s="1670"/>
    </row>
    <row r="95" spans="1:9" ht="15" customHeight="1" x14ac:dyDescent="0.2">
      <c r="A95" s="1893"/>
      <c r="B95" s="1670"/>
      <c r="C95" s="241" t="str">
        <f>F!C173</f>
        <v>5-30% of the ponded water.</v>
      </c>
      <c r="D95" s="128">
        <f>F!D173</f>
        <v>0</v>
      </c>
      <c r="E95" s="187">
        <v>3</v>
      </c>
      <c r="F95" s="187">
        <f t="shared" si="2"/>
        <v>0</v>
      </c>
      <c r="G95" s="384"/>
      <c r="H95" s="1670"/>
      <c r="I95" s="1670"/>
    </row>
    <row r="96" spans="1:9" ht="15" customHeight="1" x14ac:dyDescent="0.2">
      <c r="A96" s="1893"/>
      <c r="B96" s="1670"/>
      <c r="C96" s="241" t="str">
        <f>F!C174</f>
        <v>30-70% of the ponded water.</v>
      </c>
      <c r="D96" s="128">
        <f>F!D174</f>
        <v>0</v>
      </c>
      <c r="E96" s="187">
        <v>2</v>
      </c>
      <c r="F96" s="187">
        <f t="shared" si="2"/>
        <v>0</v>
      </c>
      <c r="G96" s="384"/>
      <c r="H96" s="1670"/>
      <c r="I96" s="1670"/>
    </row>
    <row r="97" spans="1:9" ht="15" customHeight="1" x14ac:dyDescent="0.2">
      <c r="A97" s="1893"/>
      <c r="B97" s="1670"/>
      <c r="C97" s="241" t="str">
        <f>F!C175</f>
        <v>70-99% of the ponded water.</v>
      </c>
      <c r="D97" s="128">
        <f>F!D175</f>
        <v>0</v>
      </c>
      <c r="E97" s="187">
        <v>1</v>
      </c>
      <c r="F97" s="187">
        <f t="shared" si="2"/>
        <v>0</v>
      </c>
      <c r="G97" s="384"/>
      <c r="H97" s="1670"/>
      <c r="I97" s="1670"/>
    </row>
    <row r="98" spans="1:9" ht="15" customHeight="1" thickBot="1" x14ac:dyDescent="0.25">
      <c r="A98" s="1894"/>
      <c r="B98" s="1671"/>
      <c r="C98" s="241" t="str">
        <f>F!C176</f>
        <v xml:space="preserve">100% of the ponded water. </v>
      </c>
      <c r="D98" s="128">
        <f>F!D176</f>
        <v>0</v>
      </c>
      <c r="E98" s="188">
        <v>0</v>
      </c>
      <c r="F98" s="188">
        <f t="shared" si="2"/>
        <v>0</v>
      </c>
      <c r="G98" s="385"/>
      <c r="H98" s="1671"/>
      <c r="I98" s="1671"/>
    </row>
    <row r="99" spans="1:9" ht="39" customHeight="1" thickBot="1" x14ac:dyDescent="0.25">
      <c r="A99" s="1862" t="str">
        <f>F!A177</f>
        <v>F34</v>
      </c>
      <c r="B99" s="1666" t="str">
        <f>F!B177</f>
        <v>Width of Vegetated Zone within Wetland</v>
      </c>
      <c r="C99" s="240" t="str">
        <f>F!C177</f>
        <v>At the time during the growing season when the AA's water level is lowest, the average width of vegetated area in the AA that separates adjoining uplands from open water within the AA is:</v>
      </c>
      <c r="D99" s="390"/>
      <c r="E99" s="191"/>
      <c r="F99" s="192"/>
      <c r="G99" s="327">
        <f>IF((AllSat1&gt;0),"",IF((NoOpenPonded=1),"",MAX(F100:F105)/MAX(E100:E105)))</f>
        <v>0</v>
      </c>
      <c r="H99" s="1802" t="s">
        <v>1825</v>
      </c>
      <c r="I99" s="1669" t="s">
        <v>388</v>
      </c>
    </row>
    <row r="100" spans="1:9" ht="21" customHeight="1" x14ac:dyDescent="0.2">
      <c r="A100" s="1723"/>
      <c r="B100" s="1667"/>
      <c r="C100" s="14" t="str">
        <f>F!C178</f>
        <v>&lt;1 m.</v>
      </c>
      <c r="D100" s="33">
        <f>F!D178</f>
        <v>0</v>
      </c>
      <c r="E100" s="187">
        <v>0</v>
      </c>
      <c r="F100" s="187">
        <f t="shared" ref="F100:F105" si="3">D100*E100</f>
        <v>0</v>
      </c>
      <c r="G100" s="383"/>
      <c r="H100" s="1803"/>
      <c r="I100" s="1670"/>
    </row>
    <row r="101" spans="1:9" ht="21" customHeight="1" x14ac:dyDescent="0.2">
      <c r="A101" s="1723"/>
      <c r="B101" s="1667"/>
      <c r="C101" s="4" t="str">
        <f>F!C179</f>
        <v>1 - 9 m.</v>
      </c>
      <c r="D101" s="33">
        <f>F!D179</f>
        <v>0</v>
      </c>
      <c r="E101" s="187">
        <v>1</v>
      </c>
      <c r="F101" s="187">
        <f t="shared" si="3"/>
        <v>0</v>
      </c>
      <c r="G101" s="384"/>
      <c r="H101" s="1803"/>
      <c r="I101" s="1670"/>
    </row>
    <row r="102" spans="1:9" ht="21" customHeight="1" x14ac:dyDescent="0.2">
      <c r="A102" s="1723"/>
      <c r="B102" s="1667"/>
      <c r="C102" s="4" t="str">
        <f>F!C180</f>
        <v>10 - 29 m.</v>
      </c>
      <c r="D102" s="33">
        <f>F!D180</f>
        <v>0</v>
      </c>
      <c r="E102" s="187">
        <v>2</v>
      </c>
      <c r="F102" s="187">
        <f t="shared" si="3"/>
        <v>0</v>
      </c>
      <c r="G102" s="384"/>
      <c r="H102" s="1803"/>
      <c r="I102" s="1670"/>
    </row>
    <row r="103" spans="1:9" ht="21" customHeight="1" x14ac:dyDescent="0.2">
      <c r="A103" s="1723"/>
      <c r="B103" s="1667"/>
      <c r="C103" s="4" t="str">
        <f>F!C181</f>
        <v>30 - 49 m.</v>
      </c>
      <c r="D103" s="33">
        <f>F!D181</f>
        <v>0</v>
      </c>
      <c r="E103" s="187">
        <v>3</v>
      </c>
      <c r="F103" s="187">
        <f t="shared" si="3"/>
        <v>0</v>
      </c>
      <c r="G103" s="384"/>
      <c r="H103" s="1803"/>
      <c r="I103" s="1670"/>
    </row>
    <row r="104" spans="1:9" ht="21" customHeight="1" x14ac:dyDescent="0.2">
      <c r="A104" s="1723"/>
      <c r="B104" s="1667"/>
      <c r="C104" s="4" t="str">
        <f>F!C182</f>
        <v>50 - 100 m.</v>
      </c>
      <c r="D104" s="33">
        <f>F!D182</f>
        <v>0</v>
      </c>
      <c r="E104" s="190">
        <v>4</v>
      </c>
      <c r="F104" s="190">
        <f t="shared" si="3"/>
        <v>0</v>
      </c>
      <c r="G104" s="391"/>
      <c r="H104" s="1806"/>
      <c r="I104" s="1670"/>
    </row>
    <row r="105" spans="1:9" ht="21" customHeight="1" thickBot="1" x14ac:dyDescent="0.25">
      <c r="A105" s="1863"/>
      <c r="B105" s="1668"/>
      <c r="C105" s="4" t="str">
        <f>F!C183</f>
        <v>&gt; 100 m, or open water is absent at that time.</v>
      </c>
      <c r="D105" s="33">
        <f>F!D183</f>
        <v>0</v>
      </c>
      <c r="E105" s="188">
        <v>6</v>
      </c>
      <c r="F105" s="188">
        <f t="shared" si="3"/>
        <v>0</v>
      </c>
      <c r="G105" s="385"/>
      <c r="H105" s="1804"/>
      <c r="I105" s="1671"/>
    </row>
    <row r="106" spans="1:9" ht="36" customHeight="1" thickBot="1" x14ac:dyDescent="0.25">
      <c r="A106" s="1862" t="str">
        <f>F!A195</f>
        <v>F37</v>
      </c>
      <c r="B106" s="1952" t="str">
        <f>F!B195</f>
        <v>Interspersion of Emergents &amp; Open Water</v>
      </c>
      <c r="C106" s="55" t="str">
        <f>F!C195</f>
        <v>During most of the part of the growing season when water is present, the spatial pattern of emergent vegetation within the water is mostly:</v>
      </c>
      <c r="D106" s="191"/>
      <c r="E106" s="191"/>
      <c r="F106" s="192"/>
      <c r="G106" s="327">
        <f>IF((AllSat1&gt;0),"",IF((NoOpenPonded=1),"",IF((AllOpenPond=1),"",IF((NoRobustEm=1),"",MAX(F107:F109)/MAX(E107:E109)))))</f>
        <v>0</v>
      </c>
      <c r="H106" s="1669" t="s">
        <v>1826</v>
      </c>
      <c r="I106" s="1669" t="s">
        <v>387</v>
      </c>
    </row>
    <row r="107" spans="1:9" ht="18" customHeight="1" x14ac:dyDescent="0.2">
      <c r="A107" s="1703"/>
      <c r="B107" s="1803"/>
      <c r="C107" s="243" t="str">
        <f>F!C196</f>
        <v>Scattered. More than 30% of such vegetation forms small islands or corridors surrounded by water.</v>
      </c>
      <c r="D107" s="129">
        <f>F!D196</f>
        <v>0</v>
      </c>
      <c r="E107" s="187">
        <v>3</v>
      </c>
      <c r="F107" s="187">
        <f>D107*E107</f>
        <v>0</v>
      </c>
      <c r="G107" s="212"/>
      <c r="H107" s="1670"/>
      <c r="I107" s="1670"/>
    </row>
    <row r="108" spans="1:9" ht="18" customHeight="1" x14ac:dyDescent="0.2">
      <c r="A108" s="1703"/>
      <c r="B108" s="1803"/>
      <c r="C108" s="244" t="str">
        <f>F!C197</f>
        <v>Intermediate.</v>
      </c>
      <c r="D108" s="33">
        <f>F!D197</f>
        <v>0</v>
      </c>
      <c r="E108" s="187">
        <v>2</v>
      </c>
      <c r="F108" s="187">
        <f>D108*E108</f>
        <v>0</v>
      </c>
      <c r="G108" s="212"/>
      <c r="H108" s="1670"/>
      <c r="I108" s="1670"/>
    </row>
    <row r="109" spans="1:9" ht="27" customHeight="1" thickBot="1" x14ac:dyDescent="0.25">
      <c r="A109" s="1722"/>
      <c r="B109" s="1804"/>
      <c r="C109" s="242" t="str">
        <f>F!C198</f>
        <v>Clumped. More than 70% of such vegetation is in bands along the wetland perimeter or is clumped at one or a few sides of the surface water area.</v>
      </c>
      <c r="D109" s="84">
        <f>F!D198</f>
        <v>0</v>
      </c>
      <c r="E109" s="188">
        <v>1</v>
      </c>
      <c r="F109" s="188">
        <f>D109*E109</f>
        <v>0</v>
      </c>
      <c r="G109" s="216"/>
      <c r="H109" s="1671"/>
      <c r="I109" s="1671"/>
    </row>
    <row r="110" spans="1:9" ht="60" customHeight="1" thickBot="1" x14ac:dyDescent="0.25">
      <c r="A110" s="1853" t="str">
        <f>F!A206</f>
        <v>F42</v>
      </c>
      <c r="B110" s="1696" t="str">
        <f>F!B206</f>
        <v>Channel Connection &amp; Outflow Duration</v>
      </c>
      <c r="C110" s="245" t="str">
        <f>F!C206</f>
        <v>The most persistent surface water connection (outlet channel or pipe, ditch, or overbank water exchange) between the AA and a downslope stream network is: [Note: If the AA represents only part of a wetland, answer this according to whichever is the least permanent surface connection: the one between the AA and the rest of the wetland, or the surface connection between the wetland and the downslope stream network.]</v>
      </c>
      <c r="D110" s="191"/>
      <c r="E110" s="186"/>
      <c r="F110" s="189"/>
      <c r="G110" s="328">
        <f>MAX(F111:F115)/MAX(E111:E115)</f>
        <v>0</v>
      </c>
      <c r="H110" s="1670" t="s">
        <v>1828</v>
      </c>
      <c r="I110" s="1669" t="s">
        <v>392</v>
      </c>
    </row>
    <row r="111" spans="1:9" ht="15" customHeight="1" x14ac:dyDescent="0.2">
      <c r="A111" s="1853"/>
      <c r="B111" s="1696"/>
      <c r="C111" s="14" t="str">
        <f>F!C207</f>
        <v>Persistent (surface water flows out for &gt;9 months/year).</v>
      </c>
      <c r="D111" s="129">
        <f>F!D207</f>
        <v>0</v>
      </c>
      <c r="E111" s="187">
        <v>1</v>
      </c>
      <c r="F111" s="187">
        <f>D111*E111</f>
        <v>0</v>
      </c>
      <c r="G111" s="383"/>
      <c r="H111" s="1670"/>
      <c r="I111" s="1670"/>
    </row>
    <row r="112" spans="1:9" ht="15" customHeight="1" x14ac:dyDescent="0.2">
      <c r="A112" s="1853"/>
      <c r="B112" s="1696"/>
      <c r="C112" s="4" t="str">
        <f>F!C208</f>
        <v>Seasonal (surface water flows out for 14 days to 9 months/year, not necessarily consecutive).</v>
      </c>
      <c r="D112" s="33">
        <f>F!D208</f>
        <v>0</v>
      </c>
      <c r="E112" s="187">
        <v>2</v>
      </c>
      <c r="F112" s="187">
        <f>D112*E112</f>
        <v>0</v>
      </c>
      <c r="G112" s="384"/>
      <c r="H112" s="1670"/>
      <c r="I112" s="1670"/>
    </row>
    <row r="113" spans="1:9" ht="15" customHeight="1" x14ac:dyDescent="0.2">
      <c r="A113" s="1853"/>
      <c r="B113" s="1696"/>
      <c r="C113" s="4" t="str">
        <f>F!C209</f>
        <v>Temporary (surface water flows out for &lt;14 days, not necessarily consecutive).</v>
      </c>
      <c r="D113" s="33">
        <f>F!D209</f>
        <v>0</v>
      </c>
      <c r="E113" s="187">
        <v>3</v>
      </c>
      <c r="F113" s="187">
        <f>D113*E113</f>
        <v>0</v>
      </c>
      <c r="G113" s="384"/>
      <c r="H113" s="1670"/>
      <c r="I113" s="1670"/>
    </row>
    <row r="114" spans="1:9" ht="27" customHeight="1" x14ac:dyDescent="0.2">
      <c r="A114" s="1853"/>
      <c r="B114" s="1696"/>
      <c r="C114" s="4" t="str">
        <f>F!C210</f>
        <v>None -- but maps show a stream network downslope from the AA and within a distance that is less than the AA's length. SKIP to F47 (pH Measurement).</v>
      </c>
      <c r="D114" s="33">
        <f>F!D210</f>
        <v>0</v>
      </c>
      <c r="E114" s="203">
        <v>6</v>
      </c>
      <c r="F114" s="187">
        <f>D114*E114</f>
        <v>0</v>
      </c>
      <c r="G114" s="391"/>
      <c r="H114" s="1670"/>
      <c r="I114" s="1670"/>
    </row>
    <row r="115" spans="1:9" ht="27" customHeight="1" thickBot="1" x14ac:dyDescent="0.25">
      <c r="A115" s="1853"/>
      <c r="B115" s="1696"/>
      <c r="C115" s="241" t="str">
        <f>F!C211</f>
        <v>No surface water flows out of the wetland except possibly during extreme events (&lt;once per 10 years). Or, water flows only into a wetland, ditch, or lake that lacks an outlet. SKIP to F47 (pH Measurement).</v>
      </c>
      <c r="D115" s="128">
        <f>F!D211</f>
        <v>0</v>
      </c>
      <c r="E115" s="321">
        <v>6</v>
      </c>
      <c r="F115" s="190">
        <f>D115*E115</f>
        <v>0</v>
      </c>
      <c r="G115" s="391"/>
      <c r="H115" s="1670"/>
      <c r="I115" s="1671"/>
    </row>
    <row r="116" spans="1:9" ht="30" customHeight="1" thickBot="1" x14ac:dyDescent="0.25">
      <c r="A116" s="1721" t="str">
        <f>F!A212</f>
        <v>F43</v>
      </c>
      <c r="B116" s="1669" t="str">
        <f>F!B212</f>
        <v xml:space="preserve">Outflow Confinement </v>
      </c>
      <c r="C116" s="240" t="str">
        <f>F!C212</f>
        <v>During major runoff events, in the places where surface water exits the AA or connected waters nearby, the water:</v>
      </c>
      <c r="D116" s="191"/>
      <c r="E116" s="191"/>
      <c r="F116" s="192"/>
      <c r="G116" s="327">
        <f>IF((OutNone=1),"",MAX(F117:F119)/MAX(E117:E119))</f>
        <v>0</v>
      </c>
      <c r="H116" s="1693" t="s">
        <v>1827</v>
      </c>
      <c r="I116" s="1669" t="s">
        <v>393</v>
      </c>
    </row>
    <row r="117" spans="1:9" ht="42" customHeight="1" x14ac:dyDescent="0.2">
      <c r="A117" s="1703"/>
      <c r="B117" s="1670"/>
      <c r="C117" s="14" t="str">
        <f>F!C213</f>
        <v>Mostly passes through a pipe, culvert, narrowly breached dike, berm, beaver dam, or other partial obstruction (other than natural topography) that does not appear to drain the wetland artificially during most of the growing season.</v>
      </c>
      <c r="D117" s="129">
        <f>F!D213</f>
        <v>0</v>
      </c>
      <c r="E117" s="187">
        <v>2</v>
      </c>
      <c r="F117" s="187">
        <f>D117*E117</f>
        <v>0</v>
      </c>
      <c r="G117" s="383"/>
      <c r="H117" s="1696"/>
      <c r="I117" s="1670"/>
    </row>
    <row r="118" spans="1:9" ht="15" customHeight="1" x14ac:dyDescent="0.2">
      <c r="A118" s="1703"/>
      <c r="B118" s="1670"/>
      <c r="C118" s="4" t="str">
        <f>F!C214</f>
        <v>Leaves through natural exits (channels or diffuse outflow), not mainly through artificial or temporary features.</v>
      </c>
      <c r="D118" s="33">
        <f>F!D214</f>
        <v>0</v>
      </c>
      <c r="E118" s="187">
        <v>1</v>
      </c>
      <c r="F118" s="187">
        <f>D118*E118</f>
        <v>0</v>
      </c>
      <c r="G118" s="392"/>
      <c r="H118" s="1696"/>
      <c r="I118" s="1670"/>
    </row>
    <row r="119" spans="1:9" ht="41.25" customHeight="1" thickBot="1" x14ac:dyDescent="0.25">
      <c r="A119" s="1703"/>
      <c r="B119" s="1670"/>
      <c r="C119" s="241" t="str">
        <f>F!C215</f>
        <v>Is exported more quickly than usual due to ditches or pipes within the AA or connected to its outlet, or within 10 m of the AA's edge, which drain the wetland artificially, or water is pumped out of the AA.</v>
      </c>
      <c r="D119" s="128">
        <f>F!D215</f>
        <v>0</v>
      </c>
      <c r="E119" s="190">
        <v>0</v>
      </c>
      <c r="F119" s="190">
        <f>D119*E119</f>
        <v>0</v>
      </c>
      <c r="G119" s="391"/>
      <c r="H119" s="1712"/>
      <c r="I119" s="1671"/>
    </row>
    <row r="120" spans="1:9" ht="33" customHeight="1" thickBot="1" x14ac:dyDescent="0.25">
      <c r="A120" s="1721" t="str">
        <f>F!A218</f>
        <v>F46</v>
      </c>
      <c r="B120" s="1693" t="str">
        <f>F!B218</f>
        <v>Throughflow Resistance</v>
      </c>
      <c r="C120" s="240" t="str">
        <f>F!C218</f>
        <v>During its travel through the AA at the time of peak annual flow, water arriving in channels: [select only the ONE encountered by most of the incoming water].</v>
      </c>
      <c r="D120" s="191"/>
      <c r="E120" s="191"/>
      <c r="F120" s="192"/>
      <c r="G120" s="327">
        <f>IF(AND(Inflows=0,OutNone=1,OutNone1=1),"",MAX(F121:F125)/MAX(E121:E125))</f>
        <v>0</v>
      </c>
      <c r="H120" s="1693" t="s">
        <v>1552</v>
      </c>
      <c r="I120" s="1669" t="s">
        <v>394</v>
      </c>
    </row>
    <row r="121" spans="1:9" ht="45" customHeight="1" x14ac:dyDescent="0.2">
      <c r="A121" s="1703"/>
      <c r="B121" s="1696"/>
      <c r="C121" s="14" t="str">
        <f>F!C219</f>
        <v>Does not bump into many plant stems as it travels through the AA. Nearly all the water continues to travel in unvegetated (often incised) channels that have minimal contact with wetland vegetation, or through a zone of open water such as an instream pond or lake.</v>
      </c>
      <c r="D121" s="129">
        <f>F!D219</f>
        <v>0</v>
      </c>
      <c r="E121" s="187">
        <v>0</v>
      </c>
      <c r="F121" s="187">
        <f>D121*E121</f>
        <v>0</v>
      </c>
      <c r="G121" s="383"/>
      <c r="H121" s="1696"/>
      <c r="I121" s="1670"/>
    </row>
    <row r="122" spans="1:9" ht="18" customHeight="1" x14ac:dyDescent="0.2">
      <c r="A122" s="1703"/>
      <c r="B122" s="1696"/>
      <c r="C122" s="4" t="str">
        <f>F!C220</f>
        <v>Bumps into herbaceous vegetation but mostly remains in fairly straight channels.</v>
      </c>
      <c r="D122" s="33">
        <f>F!D220</f>
        <v>0</v>
      </c>
      <c r="E122" s="187">
        <v>1</v>
      </c>
      <c r="F122" s="187">
        <f>D122*E122</f>
        <v>0</v>
      </c>
      <c r="G122" s="384"/>
      <c r="H122" s="1696"/>
      <c r="I122" s="1670"/>
    </row>
    <row r="123" spans="1:9" ht="27" customHeight="1" x14ac:dyDescent="0.2">
      <c r="A123" s="1703"/>
      <c r="B123" s="1696"/>
      <c r="C123" s="4" t="str">
        <f>F!C221</f>
        <v>Bumps into herbaceous vegetation and mostly spreads throughout, or is in widely meandering, multi-branched, or braided channels.</v>
      </c>
      <c r="D123" s="33">
        <f>F!D221</f>
        <v>0</v>
      </c>
      <c r="E123" s="187">
        <v>2</v>
      </c>
      <c r="F123" s="187">
        <f>D123*E123</f>
        <v>0</v>
      </c>
      <c r="G123" s="384"/>
      <c r="H123" s="1696"/>
      <c r="I123" s="1670"/>
    </row>
    <row r="124" spans="1:9" ht="18" customHeight="1" x14ac:dyDescent="0.2">
      <c r="A124" s="1703"/>
      <c r="B124" s="1696"/>
      <c r="C124" s="4" t="str">
        <f>F!C222</f>
        <v>Bumps into tree trunks and/or shrub stems but mostly remains in fairly straight channels.</v>
      </c>
      <c r="D124" s="33">
        <f>F!D222</f>
        <v>0</v>
      </c>
      <c r="E124" s="187">
        <v>3</v>
      </c>
      <c r="F124" s="187">
        <f>D124*E124</f>
        <v>0</v>
      </c>
      <c r="G124" s="384"/>
      <c r="H124" s="1696"/>
      <c r="I124" s="1670"/>
    </row>
    <row r="125" spans="1:9" ht="27" customHeight="1" thickBot="1" x14ac:dyDescent="0.25">
      <c r="A125" s="1722"/>
      <c r="B125" s="1712"/>
      <c r="C125" s="85" t="str">
        <f>F!C223</f>
        <v>Bumps into tree trunks and/or shrub stems and follows a fairly indirect path from entrance to exit (meandering, multi-branched, or braided).</v>
      </c>
      <c r="D125" s="84">
        <f>F!D223</f>
        <v>0</v>
      </c>
      <c r="E125" s="188">
        <v>4</v>
      </c>
      <c r="F125" s="188">
        <f>D125*E125</f>
        <v>0</v>
      </c>
      <c r="G125" s="385"/>
      <c r="H125" s="1712"/>
      <c r="I125" s="1671"/>
    </row>
    <row r="126" spans="1:9" ht="27" customHeight="1" thickBot="1" x14ac:dyDescent="0.25">
      <c r="A126" s="1856" t="str">
        <f>F!A224</f>
        <v>F47</v>
      </c>
      <c r="B126" s="1669" t="str">
        <f>F!B224</f>
        <v>pH Measurement</v>
      </c>
      <c r="C126" s="240" t="str">
        <f>F!C224</f>
        <v>The pH in most of the AA's surface water:</v>
      </c>
      <c r="D126" s="752"/>
      <c r="E126" s="191"/>
      <c r="F126" s="191"/>
      <c r="G126" s="327">
        <f>IF((D129=1),"",IF((AND(D127&gt;=6,D127&lt;=8.5)),1,IF((OR(D127&lt;6,D127&gt;8.5)),0,0.5)))</f>
        <v>0</v>
      </c>
      <c r="H126" s="1669" t="s">
        <v>2942</v>
      </c>
      <c r="I126" s="1669" t="s">
        <v>1572</v>
      </c>
    </row>
    <row r="127" spans="1:9" ht="21" customHeight="1" thickBot="1" x14ac:dyDescent="0.25">
      <c r="A127" s="1925"/>
      <c r="B127" s="1670"/>
      <c r="C127" s="380" t="str">
        <f>F!C225</f>
        <v>Was measured, and is:  [enter the reading in the column to the right.]</v>
      </c>
      <c r="D127" s="1425" t="str">
        <f>IF((F!D225=""),"", F!D225)</f>
        <v/>
      </c>
      <c r="E127" s="203"/>
      <c r="F127" s="187"/>
      <c r="G127" s="384"/>
      <c r="H127" s="1670"/>
      <c r="I127" s="1670"/>
    </row>
    <row r="128" spans="1:9" ht="30" customHeight="1" x14ac:dyDescent="0.2">
      <c r="A128" s="1925"/>
      <c r="B128" s="1670"/>
      <c r="C128" s="4" t="str">
        <f>F!C226</f>
        <v xml:space="preserve">Was not measured but surface water is present and is darkly tea-coloured.  Or if no surface water, then mosses and plants that indicate peatland (e.g., Labrador tea) are prevalent. Enter "1". </v>
      </c>
      <c r="D128" s="129">
        <f>F!D226</f>
        <v>0</v>
      </c>
      <c r="E128" s="187"/>
      <c r="F128" s="187"/>
      <c r="G128" s="384"/>
      <c r="H128" s="1670"/>
      <c r="I128" s="1670"/>
    </row>
    <row r="129" spans="1:9" ht="31.5" customHeight="1" thickBot="1" x14ac:dyDescent="0.25">
      <c r="A129" s="1936"/>
      <c r="B129" s="1671"/>
      <c r="C129" s="381" t="str">
        <f>F!C227</f>
        <v>Neither of above. Enter "1".</v>
      </c>
      <c r="D129" s="841">
        <f>F!D227</f>
        <v>0</v>
      </c>
      <c r="E129" s="188"/>
      <c r="F129" s="188"/>
      <c r="G129" s="385"/>
      <c r="H129" s="1671"/>
      <c r="I129" s="1671"/>
    </row>
    <row r="130" spans="1:9" ht="21" customHeight="1" thickBot="1" x14ac:dyDescent="0.25">
      <c r="A130" s="1703" t="str">
        <f>F!A237</f>
        <v>F50</v>
      </c>
      <c r="B130" s="1670" t="str">
        <f>F!B237</f>
        <v>Groundwater Strength of Evidence</v>
      </c>
      <c r="C130" s="245" t="str">
        <f>F!C237</f>
        <v>Select first applicable choice:</v>
      </c>
      <c r="D130" s="186"/>
      <c r="E130" s="186"/>
      <c r="F130" s="189"/>
      <c r="G130" s="328">
        <f>MAX(F131:F133)/MAX(E131:E133)</f>
        <v>0</v>
      </c>
      <c r="H130" s="1696" t="s">
        <v>1502</v>
      </c>
      <c r="I130" s="1669" t="s">
        <v>391</v>
      </c>
    </row>
    <row r="131" spans="1:9" ht="42" customHeight="1" x14ac:dyDescent="0.2">
      <c r="A131" s="1703"/>
      <c r="B131" s="1670"/>
      <c r="C131" s="222"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131" s="183">
        <f>F!D238</f>
        <v>0</v>
      </c>
      <c r="E131" s="187">
        <v>3</v>
      </c>
      <c r="F131" s="187">
        <f>D131*E131</f>
        <v>0</v>
      </c>
      <c r="G131" s="383"/>
      <c r="H131" s="1696"/>
      <c r="I131" s="1670"/>
    </row>
    <row r="132" spans="1:9" ht="27" customHeight="1" x14ac:dyDescent="0.2">
      <c r="A132" s="1703"/>
      <c r="B132" s="1670"/>
      <c r="C132" s="241" t="str">
        <f>F!C239</f>
        <v>Most of the AA has a slope of &gt;5%, or is very close to the base of a natural slope longer than 100 and much steeper than the slope of the AA,  AND the pH of surface water, if known, is &gt;5.5.</v>
      </c>
      <c r="D132" s="128">
        <f>F!D239</f>
        <v>0</v>
      </c>
      <c r="E132" s="187">
        <v>2</v>
      </c>
      <c r="F132" s="187">
        <f>D132*E132</f>
        <v>0</v>
      </c>
      <c r="G132" s="384"/>
      <c r="H132" s="1696"/>
      <c r="I132" s="1670"/>
    </row>
    <row r="133" spans="1:9" ht="27" customHeight="1" thickBot="1" x14ac:dyDescent="0.25">
      <c r="A133" s="1722"/>
      <c r="B133" s="1671"/>
      <c r="C133" s="85" t="str">
        <f>F!C240</f>
        <v>Neither of above is true, although some groundwater may discharge to or flow through the AA. Or groundwater influx is unknown.</v>
      </c>
      <c r="D133" s="84">
        <f>F!D240</f>
        <v>0</v>
      </c>
      <c r="E133" s="188">
        <v>0</v>
      </c>
      <c r="F133" s="188">
        <f>D133*E133</f>
        <v>0</v>
      </c>
      <c r="G133" s="385"/>
      <c r="H133" s="1712"/>
      <c r="I133" s="1671"/>
    </row>
    <row r="134" spans="1:9" ht="21" customHeight="1" thickBot="1" x14ac:dyDescent="0.25">
      <c r="A134" s="1713" t="str">
        <f>F!A241</f>
        <v>F51</v>
      </c>
      <c r="B134" s="1693" t="str">
        <f>F!B241</f>
        <v>Internal Gradient</v>
      </c>
      <c r="C134" s="240" t="str">
        <f>F!C241</f>
        <v>The gradient along most of the flow path within the AA is:</v>
      </c>
      <c r="D134" s="202"/>
      <c r="E134" s="191"/>
      <c r="F134" s="192"/>
      <c r="G134" s="327">
        <f>MAX(F135:F138)/MAX(E135:E138)</f>
        <v>0</v>
      </c>
      <c r="H134" s="1693" t="s">
        <v>598</v>
      </c>
      <c r="I134" s="1669" t="s">
        <v>399</v>
      </c>
    </row>
    <row r="135" spans="1:9" ht="15" customHeight="1" x14ac:dyDescent="0.2">
      <c r="A135" s="1714"/>
      <c r="B135" s="1696"/>
      <c r="C135" s="14" t="str">
        <f>F!C242</f>
        <v>&lt;2% or the AA has no surface water outlet (not even seasonally).</v>
      </c>
      <c r="D135" s="33">
        <f>F!D242</f>
        <v>0</v>
      </c>
      <c r="E135" s="187">
        <v>4</v>
      </c>
      <c r="F135" s="187">
        <f>D135*E135</f>
        <v>0</v>
      </c>
      <c r="G135" s="383"/>
      <c r="H135" s="1696"/>
      <c r="I135" s="1670"/>
    </row>
    <row r="136" spans="1:9" ht="15" customHeight="1" x14ac:dyDescent="0.2">
      <c r="A136" s="1714"/>
      <c r="B136" s="1696"/>
      <c r="C136" s="4" t="str">
        <f>F!C243</f>
        <v>2-5%.</v>
      </c>
      <c r="D136" s="33">
        <f>F!D243</f>
        <v>0</v>
      </c>
      <c r="E136" s="187">
        <v>2</v>
      </c>
      <c r="F136" s="187">
        <f>D136*E136</f>
        <v>0</v>
      </c>
      <c r="G136" s="384"/>
      <c r="H136" s="1696"/>
      <c r="I136" s="1670"/>
    </row>
    <row r="137" spans="1:9" ht="15" customHeight="1" x14ac:dyDescent="0.2">
      <c r="A137" s="1714"/>
      <c r="B137" s="1696"/>
      <c r="C137" s="4" t="str">
        <f>F!C244</f>
        <v>6-10%.</v>
      </c>
      <c r="D137" s="33">
        <f>F!D244</f>
        <v>0</v>
      </c>
      <c r="E137" s="187">
        <v>1</v>
      </c>
      <c r="F137" s="187">
        <f>D137*E137</f>
        <v>0</v>
      </c>
      <c r="G137" s="384"/>
      <c r="H137" s="1696"/>
      <c r="I137" s="1670"/>
    </row>
    <row r="138" spans="1:9" ht="15" customHeight="1" thickBot="1" x14ac:dyDescent="0.25">
      <c r="A138" s="1715"/>
      <c r="B138" s="1712"/>
      <c r="C138" s="241" t="str">
        <f>F!C245</f>
        <v>&gt;10%.</v>
      </c>
      <c r="D138" s="33">
        <f>F!D245</f>
        <v>0</v>
      </c>
      <c r="E138" s="188">
        <v>0</v>
      </c>
      <c r="F138" s="188">
        <f>D138*E138</f>
        <v>0</v>
      </c>
      <c r="G138" s="385"/>
      <c r="H138" s="1712"/>
      <c r="I138" s="1671"/>
    </row>
    <row r="139" spans="1:9" ht="30" customHeight="1" thickBot="1" x14ac:dyDescent="0.25">
      <c r="A139" s="1721" t="str">
        <f>F!A262</f>
        <v>F56</v>
      </c>
      <c r="B139" s="1669" t="str">
        <f>F!B262</f>
        <v>New or Expanded Wetland</v>
      </c>
      <c r="C139" s="55" t="str">
        <f>F!C262</f>
        <v>Human actions within or adjacent to the AA have persistently expanded a naturally occurring wetland or created a wetland where there previously was none (e.g., by excavation, impoundment):</v>
      </c>
      <c r="D139" s="600"/>
      <c r="E139" s="390"/>
      <c r="F139" s="393"/>
      <c r="G139" s="327">
        <f>IF((D145=1),"",MAX(F140:F144)/MAX(E140:E144))</f>
        <v>0</v>
      </c>
      <c r="H139" s="1693" t="s">
        <v>1553</v>
      </c>
      <c r="I139" s="1669" t="s">
        <v>400</v>
      </c>
    </row>
    <row r="140" spans="1:9" ht="15" customHeight="1" x14ac:dyDescent="0.2">
      <c r="A140" s="1703"/>
      <c r="B140" s="1670"/>
      <c r="C140" s="51" t="str">
        <f>F!C263</f>
        <v>No.</v>
      </c>
      <c r="D140" s="33">
        <f>F!D263</f>
        <v>0</v>
      </c>
      <c r="E140" s="321">
        <v>5</v>
      </c>
      <c r="F140" s="187">
        <f>D140*E140</f>
        <v>0</v>
      </c>
      <c r="G140" s="392"/>
      <c r="H140" s="1696"/>
      <c r="I140" s="1670"/>
    </row>
    <row r="141" spans="1:9" ht="15" customHeight="1" x14ac:dyDescent="0.2">
      <c r="A141" s="1703"/>
      <c r="B141" s="1670"/>
      <c r="C141" s="413" t="str">
        <f>F!C264</f>
        <v xml:space="preserve">Yes, and created or expanded 20 - 100 years ago. </v>
      </c>
      <c r="D141" s="33">
        <f>F!D264</f>
        <v>0</v>
      </c>
      <c r="E141" s="321">
        <v>2</v>
      </c>
      <c r="F141" s="187">
        <f>D141*E141</f>
        <v>0</v>
      </c>
      <c r="G141" s="391"/>
      <c r="H141" s="1696"/>
      <c r="I141" s="1670"/>
    </row>
    <row r="142" spans="1:9" ht="15" customHeight="1" x14ac:dyDescent="0.2">
      <c r="A142" s="1703"/>
      <c r="B142" s="1670"/>
      <c r="C142" s="413" t="str">
        <f>F!C265</f>
        <v>Yes, and created or expanded 3-20 years ago.</v>
      </c>
      <c r="D142" s="33">
        <f>F!D265</f>
        <v>0</v>
      </c>
      <c r="E142" s="321">
        <v>1</v>
      </c>
      <c r="F142" s="187">
        <f>D142*E142</f>
        <v>0</v>
      </c>
      <c r="G142" s="391"/>
      <c r="H142" s="1696"/>
      <c r="I142" s="1670"/>
    </row>
    <row r="143" spans="1:9" ht="15" customHeight="1" x14ac:dyDescent="0.2">
      <c r="A143" s="1703"/>
      <c r="B143" s="1670"/>
      <c r="C143" s="413" t="str">
        <f>F!C266</f>
        <v>Yes, and created or expanded within last 3 years.</v>
      </c>
      <c r="D143" s="33">
        <f>F!D266</f>
        <v>0</v>
      </c>
      <c r="E143" s="321">
        <v>0</v>
      </c>
      <c r="F143" s="187">
        <f>D143*E143</f>
        <v>0</v>
      </c>
      <c r="G143" s="391"/>
      <c r="H143" s="1696"/>
      <c r="I143" s="1670"/>
    </row>
    <row r="144" spans="1:9" ht="15" customHeight="1" x14ac:dyDescent="0.2">
      <c r="A144" s="1703"/>
      <c r="B144" s="1670"/>
      <c r="C144" s="413" t="str">
        <f>F!C267</f>
        <v>Yes, but time of origin or expansion unknown.</v>
      </c>
      <c r="D144" s="33">
        <f>F!D267</f>
        <v>0</v>
      </c>
      <c r="E144" s="321">
        <v>1</v>
      </c>
      <c r="F144" s="187">
        <f>D144*E144</f>
        <v>0</v>
      </c>
      <c r="G144" s="391"/>
      <c r="H144" s="1696"/>
      <c r="I144" s="1670"/>
    </row>
    <row r="145" spans="1:9" ht="15" customHeight="1" thickBot="1" x14ac:dyDescent="0.25">
      <c r="A145" s="1722"/>
      <c r="B145" s="1671"/>
      <c r="C145" s="903" t="str">
        <f>F!C268</f>
        <v>Unknown if new or expanded within 20 years or not.</v>
      </c>
      <c r="D145" s="84">
        <f>F!D268</f>
        <v>0</v>
      </c>
      <c r="E145" s="204"/>
      <c r="F145" s="188"/>
      <c r="G145" s="385"/>
      <c r="H145" s="1712"/>
      <c r="I145" s="1671"/>
    </row>
    <row r="146" spans="1:9" ht="60" customHeight="1" thickBot="1" x14ac:dyDescent="0.25">
      <c r="A146" s="623" t="str">
        <f>S!A69</f>
        <v>S5</v>
      </c>
      <c r="B146" s="787" t="str">
        <f>S!B69</f>
        <v>Soil or Sediment Alteration Within the Assessment Area</v>
      </c>
      <c r="C146" s="1351" t="s">
        <v>978</v>
      </c>
      <c r="D146" s="757">
        <f>S!F86</f>
        <v>0</v>
      </c>
      <c r="E146" s="201"/>
      <c r="F146" s="754"/>
      <c r="G146" s="328" t="str">
        <f>IF((D146=0),"",1-D146)</f>
        <v/>
      </c>
      <c r="H146" s="787" t="s">
        <v>587</v>
      </c>
      <c r="I146" s="787" t="s">
        <v>401</v>
      </c>
    </row>
    <row r="147" spans="1:9" s="56" customFormat="1" ht="36" customHeight="1" thickBot="1" x14ac:dyDescent="0.25">
      <c r="A147" s="850" t="s">
        <v>88</v>
      </c>
      <c r="B147" s="850" t="s">
        <v>2432</v>
      </c>
      <c r="C147" s="852" t="s">
        <v>1164</v>
      </c>
      <c r="D147" s="851" t="s">
        <v>45</v>
      </c>
      <c r="E147" s="944" t="s">
        <v>1188</v>
      </c>
      <c r="F147" s="928" t="s">
        <v>1189</v>
      </c>
      <c r="G147" s="945" t="s">
        <v>2558</v>
      </c>
      <c r="H147" s="850" t="s">
        <v>1117</v>
      </c>
      <c r="I147" s="850" t="s">
        <v>2427</v>
      </c>
    </row>
    <row r="148" spans="1:9" ht="21" customHeight="1" thickBot="1" x14ac:dyDescent="0.25">
      <c r="A148" s="1951" t="str">
        <f>OF!A50</f>
        <v>OF10</v>
      </c>
      <c r="B148" s="1806" t="str">
        <f>OF!B50</f>
        <v>Distance by Road to Nearest Population Center</v>
      </c>
      <c r="C148" s="240" t="str">
        <f>OF!C50</f>
        <v>Measured along the maintained road nearest the AA, the distance to the nearest population center is:</v>
      </c>
      <c r="D148" s="191"/>
      <c r="E148" s="187"/>
      <c r="F148" s="187"/>
      <c r="G148" s="318">
        <f>MAX(F149:F153)/MAX(E149:E153)</f>
        <v>0</v>
      </c>
      <c r="H148" s="1669" t="s">
        <v>1546</v>
      </c>
      <c r="I148" s="1933" t="s">
        <v>405</v>
      </c>
    </row>
    <row r="149" spans="1:9" ht="15" customHeight="1" x14ac:dyDescent="0.2">
      <c r="A149" s="1853"/>
      <c r="B149" s="1670"/>
      <c r="C149" s="14" t="str">
        <f>OF!C51</f>
        <v>&lt;100 m.</v>
      </c>
      <c r="D149" s="129">
        <f>OF!D51</f>
        <v>0</v>
      </c>
      <c r="E149" s="186">
        <v>5</v>
      </c>
      <c r="F149" s="187">
        <f>D149*E149</f>
        <v>0</v>
      </c>
      <c r="G149" s="383"/>
      <c r="H149" s="1670"/>
      <c r="I149" s="1934"/>
    </row>
    <row r="150" spans="1:9" ht="15" customHeight="1" x14ac:dyDescent="0.2">
      <c r="A150" s="1853"/>
      <c r="B150" s="1670"/>
      <c r="C150" s="4" t="str">
        <f>OF!C52</f>
        <v>100 - 500 m.</v>
      </c>
      <c r="D150" s="33">
        <f>OF!D52</f>
        <v>0</v>
      </c>
      <c r="E150" s="186">
        <v>3</v>
      </c>
      <c r="F150" s="187">
        <f>D150*E150</f>
        <v>0</v>
      </c>
      <c r="G150" s="383"/>
      <c r="H150" s="1670"/>
      <c r="I150" s="1934"/>
    </row>
    <row r="151" spans="1:9" ht="15" customHeight="1" x14ac:dyDescent="0.2">
      <c r="A151" s="1853"/>
      <c r="B151" s="1670"/>
      <c r="C151" s="4" t="str">
        <f>OF!C53</f>
        <v>0.5- 1 km.</v>
      </c>
      <c r="D151" s="33">
        <f>OF!D53</f>
        <v>0</v>
      </c>
      <c r="E151" s="186">
        <v>2</v>
      </c>
      <c r="F151" s="187">
        <f>D151*E151</f>
        <v>0</v>
      </c>
      <c r="G151" s="383"/>
      <c r="H151" s="1670"/>
      <c r="I151" s="1934"/>
    </row>
    <row r="152" spans="1:9" ht="15" customHeight="1" x14ac:dyDescent="0.2">
      <c r="A152" s="1853"/>
      <c r="B152" s="1670"/>
      <c r="C152" s="4" t="str">
        <f>OF!C54</f>
        <v>1 - 5 km.</v>
      </c>
      <c r="D152" s="33">
        <f>OF!D54</f>
        <v>0</v>
      </c>
      <c r="E152" s="186">
        <v>1</v>
      </c>
      <c r="F152" s="187">
        <f>D152*E152</f>
        <v>0</v>
      </c>
      <c r="G152" s="383"/>
      <c r="H152" s="1670"/>
      <c r="I152" s="1934"/>
    </row>
    <row r="153" spans="1:9" ht="15" customHeight="1" thickBot="1" x14ac:dyDescent="0.25">
      <c r="A153" s="1853"/>
      <c r="B153" s="1670"/>
      <c r="C153" s="241" t="str">
        <f>OF!C55</f>
        <v>&gt;5 km.</v>
      </c>
      <c r="D153" s="128">
        <f>OF!D55</f>
        <v>0</v>
      </c>
      <c r="E153" s="190">
        <v>0</v>
      </c>
      <c r="F153" s="190">
        <f>D153*E153</f>
        <v>0</v>
      </c>
      <c r="G153" s="391"/>
      <c r="H153" s="1670"/>
      <c r="I153" s="1935"/>
    </row>
    <row r="154" spans="1:9" ht="21" customHeight="1" thickBot="1" x14ac:dyDescent="0.25">
      <c r="A154" s="1669" t="str">
        <f>OF!A56</f>
        <v>OF11</v>
      </c>
      <c r="B154" s="1669" t="str">
        <f>OF!B56</f>
        <v>Distance to Nearest Maintained Road</v>
      </c>
      <c r="C154" s="3" t="str">
        <f>OF!C56</f>
        <v>From the center of the AA, the distance to the nearest maintained public road (dirt or paved) is:</v>
      </c>
      <c r="D154" s="202"/>
      <c r="E154" s="191"/>
      <c r="F154" s="191"/>
      <c r="G154" s="318">
        <f>MAX(F155:F160)/MAX(E155:E160)</f>
        <v>0</v>
      </c>
      <c r="H154" s="1669" t="s">
        <v>1545</v>
      </c>
      <c r="I154" s="1669" t="s">
        <v>1547</v>
      </c>
    </row>
    <row r="155" spans="1:9" ht="15" customHeight="1" x14ac:dyDescent="0.2">
      <c r="A155" s="1670"/>
      <c r="B155" s="1670"/>
      <c r="C155" s="901" t="str">
        <f>OF!C57</f>
        <v>&lt;10 m.</v>
      </c>
      <c r="D155" s="146">
        <f>OF!D57</f>
        <v>0</v>
      </c>
      <c r="E155" s="186">
        <v>5</v>
      </c>
      <c r="F155" s="187">
        <f t="shared" ref="F155:F160" si="4">D155*E155</f>
        <v>0</v>
      </c>
      <c r="G155" s="384"/>
      <c r="H155" s="1670"/>
      <c r="I155" s="1670"/>
    </row>
    <row r="156" spans="1:9" ht="15" customHeight="1" x14ac:dyDescent="0.2">
      <c r="A156" s="1670"/>
      <c r="B156" s="1670"/>
      <c r="C156" s="811" t="str">
        <f>OF!C58</f>
        <v>10 - 25 m.</v>
      </c>
      <c r="D156" s="146">
        <f>OF!D58</f>
        <v>0</v>
      </c>
      <c r="E156" s="186">
        <v>4</v>
      </c>
      <c r="F156" s="187">
        <f t="shared" si="4"/>
        <v>0</v>
      </c>
      <c r="G156" s="384"/>
      <c r="H156" s="1670"/>
      <c r="I156" s="1670"/>
    </row>
    <row r="157" spans="1:9" ht="15" customHeight="1" x14ac:dyDescent="0.2">
      <c r="A157" s="1670"/>
      <c r="B157" s="1670"/>
      <c r="C157" s="811" t="str">
        <f>OF!C59</f>
        <v>25 - 50 m.</v>
      </c>
      <c r="D157" s="146">
        <f>OF!D59</f>
        <v>0</v>
      </c>
      <c r="E157" s="186">
        <v>3</v>
      </c>
      <c r="F157" s="187">
        <f t="shared" si="4"/>
        <v>0</v>
      </c>
      <c r="G157" s="384"/>
      <c r="H157" s="1670"/>
      <c r="I157" s="1670"/>
    </row>
    <row r="158" spans="1:9" ht="15" customHeight="1" x14ac:dyDescent="0.2">
      <c r="A158" s="1670"/>
      <c r="B158" s="1670"/>
      <c r="C158" s="811" t="str">
        <f>OF!C60</f>
        <v>50 - 100 m.</v>
      </c>
      <c r="D158" s="146">
        <f>OF!D60</f>
        <v>0</v>
      </c>
      <c r="E158" s="186">
        <v>2</v>
      </c>
      <c r="F158" s="187">
        <f t="shared" si="4"/>
        <v>0</v>
      </c>
      <c r="G158" s="384"/>
      <c r="H158" s="1670"/>
      <c r="I158" s="1670"/>
    </row>
    <row r="159" spans="1:9" ht="15" customHeight="1" x14ac:dyDescent="0.2">
      <c r="A159" s="1670"/>
      <c r="B159" s="1670"/>
      <c r="C159" s="811" t="str">
        <f>OF!C61</f>
        <v>100 - 500 m.</v>
      </c>
      <c r="D159" s="146">
        <f>OF!D61</f>
        <v>0</v>
      </c>
      <c r="E159" s="190">
        <v>1</v>
      </c>
      <c r="F159" s="190">
        <f t="shared" si="4"/>
        <v>0</v>
      </c>
      <c r="G159" s="384"/>
      <c r="H159" s="1670"/>
      <c r="I159" s="1670"/>
    </row>
    <row r="160" spans="1:9" ht="15" customHeight="1" thickBot="1" x14ac:dyDescent="0.25">
      <c r="A160" s="1671"/>
      <c r="B160" s="1671"/>
      <c r="C160" s="677" t="str">
        <f>OF!C62</f>
        <v>&gt;500 m.</v>
      </c>
      <c r="D160" s="147">
        <f>OF!D62</f>
        <v>0</v>
      </c>
      <c r="E160" s="188">
        <v>0</v>
      </c>
      <c r="F160" s="188">
        <f t="shared" si="4"/>
        <v>0</v>
      </c>
      <c r="G160" s="385"/>
      <c r="H160" s="1671"/>
      <c r="I160" s="1671"/>
    </row>
    <row r="161" spans="1:9" ht="45" customHeight="1" thickBot="1" x14ac:dyDescent="0.25">
      <c r="A161" s="36" t="str">
        <f>OF!A98</f>
        <v>OF19</v>
      </c>
      <c r="B161" s="36" t="str">
        <f>OF!B98</f>
        <v>Water Quality Sensitive Watershed or Area</v>
      </c>
      <c r="C161" s="283" t="str">
        <f>OF!C98</f>
        <v>In Google Earth, open the KMZ file NB_Watershed Protected Area which accompanies this calculator.  The AA is within such an area. Enter 1= yes, 0= no.</v>
      </c>
      <c r="D161" s="155">
        <f>IF((OF!D98=""),"",OF!D98)</f>
        <v>0</v>
      </c>
      <c r="E161" s="210"/>
      <c r="F161" s="210"/>
      <c r="G161" s="451">
        <f>IF((D161=""),"",D161)</f>
        <v>0</v>
      </c>
      <c r="H161" s="36" t="s">
        <v>589</v>
      </c>
      <c r="I161" s="434" t="s">
        <v>2221</v>
      </c>
    </row>
    <row r="162" spans="1:9" ht="45" customHeight="1" thickBot="1" x14ac:dyDescent="0.25">
      <c r="A162" s="1670" t="str">
        <f>OF!A99</f>
        <v>OF20</v>
      </c>
      <c r="B162" s="1670" t="str">
        <f>OF!B99</f>
        <v xml:space="preserve">Degraded Water Upstream </v>
      </c>
      <c r="C162" s="184" t="str">
        <f>OF!C99</f>
        <v xml:space="preserve">Sampling indicates a problem with concentrations of metals, hydrocarbons, nutrients, or other substances (excluding bacteria, acidic water, high temperatures) being present at levels harmful to aquatic life or humans, and:  </v>
      </c>
      <c r="D162" s="205"/>
      <c r="E162" s="186"/>
      <c r="F162" s="186"/>
      <c r="G162" s="451">
        <f>IF((D166=1),"", IF((D165=1),0, IF((D164=1),0.5, 1)))</f>
        <v>1</v>
      </c>
      <c r="H162" s="1670" t="s">
        <v>1544</v>
      </c>
      <c r="I162" s="1669" t="s">
        <v>1548</v>
      </c>
    </row>
    <row r="163" spans="1:9" ht="15" customHeight="1" x14ac:dyDescent="0.2">
      <c r="A163" s="1670"/>
      <c r="B163" s="1670"/>
      <c r="C163" s="1058" t="str">
        <f>OF!C100</f>
        <v>The condition is present within the AA.</v>
      </c>
      <c r="D163" s="33">
        <f>OF!D100</f>
        <v>0</v>
      </c>
      <c r="E163" s="187"/>
      <c r="F163" s="187"/>
      <c r="G163" s="405"/>
      <c r="H163" s="1670"/>
      <c r="I163" s="1670"/>
    </row>
    <row r="164" spans="1:9" ht="27" customHeight="1" x14ac:dyDescent="0.2">
      <c r="A164" s="1670"/>
      <c r="B164" s="1670"/>
      <c r="C164" s="1058" t="str">
        <f>OF!C101</f>
        <v>The condition is present in waters within 1 km that flow into the AA, but has not been documented in the AA itself.</v>
      </c>
      <c r="D164" s="33">
        <f>OF!D101</f>
        <v>0</v>
      </c>
      <c r="E164" s="187"/>
      <c r="F164" s="187"/>
      <c r="G164" s="405"/>
      <c r="H164" s="1670"/>
      <c r="I164" s="1670"/>
    </row>
    <row r="165" spans="1:9" ht="27" customHeight="1" x14ac:dyDescent="0.2">
      <c r="A165" s="1670"/>
      <c r="B165" s="1670"/>
      <c r="C165" s="1058" t="str">
        <f>OF!C102</f>
        <v>Sampling during both low water periods and times with high runoff (storms, snowmelt) indicates no problems in either the AA or inflowing waters.</v>
      </c>
      <c r="D165" s="33">
        <f>OF!D102</f>
        <v>0</v>
      </c>
      <c r="E165" s="187"/>
      <c r="F165" s="187"/>
      <c r="G165" s="405"/>
      <c r="H165" s="1670"/>
      <c r="I165" s="1670"/>
    </row>
    <row r="166" spans="1:9" ht="27" customHeight="1" thickBot="1" x14ac:dyDescent="0.25">
      <c r="A166" s="1671"/>
      <c r="B166" s="1671"/>
      <c r="C166" s="1061" t="str">
        <f>OF!C103</f>
        <v>Data are insufficient (no or inadequate sampling within 1 km, or condition exists only at &gt;1 km upstream). This is the situation for nearly all wetlands in this region.</v>
      </c>
      <c r="D166" s="84">
        <f>OF!D103</f>
        <v>0</v>
      </c>
      <c r="E166" s="188"/>
      <c r="F166" s="188"/>
      <c r="G166" s="406"/>
      <c r="H166" s="1671"/>
      <c r="I166" s="1671"/>
    </row>
    <row r="167" spans="1:9" ht="20.25" customHeight="1" thickBot="1" x14ac:dyDescent="0.25">
      <c r="A167" s="1669" t="str">
        <f>OF!A104</f>
        <v>OF21</v>
      </c>
      <c r="B167" s="1669" t="str">
        <f>OF!B104</f>
        <v xml:space="preserve">Degraded Water Downstream </v>
      </c>
      <c r="C167" s="55" t="str">
        <f>OF!C104</f>
        <v>The problem described above is downslope from the AA, and:</v>
      </c>
      <c r="D167" s="202"/>
      <c r="E167" s="191"/>
      <c r="F167" s="191"/>
      <c r="G167" s="332">
        <f>IF((D171=1),"", IF((D109=1),0, IF((D108=1),0.5, 1)))</f>
        <v>1</v>
      </c>
      <c r="H167" s="1669" t="s">
        <v>87</v>
      </c>
      <c r="I167" s="1669" t="s">
        <v>1549</v>
      </c>
    </row>
    <row r="168" spans="1:9" ht="15" customHeight="1" x14ac:dyDescent="0.2">
      <c r="A168" s="1670"/>
      <c r="B168" s="1670"/>
      <c r="C168" s="1058" t="str">
        <f>OF!C105</f>
        <v>The condition is present within 1 km downslope and connected to the AA by a channel.</v>
      </c>
      <c r="D168" s="33">
        <f>OF!D105</f>
        <v>0</v>
      </c>
      <c r="E168" s="187"/>
      <c r="F168" s="187"/>
      <c r="G168" s="405"/>
      <c r="H168" s="1670"/>
      <c r="I168" s="1670"/>
    </row>
    <row r="169" spans="1:9" ht="27" customHeight="1" x14ac:dyDescent="0.2">
      <c r="A169" s="1670"/>
      <c r="B169" s="1670"/>
      <c r="C169" s="1058" t="str">
        <f>OF!C106</f>
        <v>The condition is present within 5 km downslope and connected to the AA by a channel, or within 1 km but not connected to the AA by a channel.</v>
      </c>
      <c r="D169" s="33">
        <f>OF!D106</f>
        <v>0</v>
      </c>
      <c r="E169" s="187"/>
      <c r="F169" s="187"/>
      <c r="G169" s="405"/>
      <c r="H169" s="1670"/>
      <c r="I169" s="1670"/>
    </row>
    <row r="170" spans="1:9" ht="27" customHeight="1" x14ac:dyDescent="0.2">
      <c r="A170" s="1670"/>
      <c r="B170" s="1670"/>
      <c r="C170" s="1058" t="str">
        <f>OF!C107</f>
        <v>Sampling during both low water periods and times with high runoff (storms, snowmelt) indicates no problems in either the AA or inflowing waters.</v>
      </c>
      <c r="D170" s="33">
        <f>OF!D107</f>
        <v>0</v>
      </c>
      <c r="E170" s="187"/>
      <c r="F170" s="187"/>
      <c r="G170" s="405"/>
      <c r="H170" s="1670"/>
      <c r="I170" s="1670"/>
    </row>
    <row r="171" spans="1:9" ht="27" customHeight="1" thickBot="1" x14ac:dyDescent="0.25">
      <c r="A171" s="1671"/>
      <c r="B171" s="1671"/>
      <c r="C171" s="1061" t="str">
        <f>OF!C108</f>
        <v>Data are insufficient (no or inadequate sampling within 1 km, or condition exists only at &gt;1 km upstream). This is the situation for nearly all wetlands in this region.</v>
      </c>
      <c r="D171" s="84">
        <f>OF!D108</f>
        <v>0</v>
      </c>
      <c r="E171" s="188"/>
      <c r="F171" s="188"/>
      <c r="G171" s="406"/>
      <c r="H171" s="1671"/>
      <c r="I171" s="1671"/>
    </row>
    <row r="172" spans="1:9" ht="87" customHeight="1" thickBot="1" x14ac:dyDescent="0.25">
      <c r="A172" s="1703" t="str">
        <f>OF!A109</f>
        <v>OF22</v>
      </c>
      <c r="B172" s="1696" t="str">
        <f>OF!B109</f>
        <v>Wetland as a % of Its Contributing Area (Catchment)</v>
      </c>
      <c r="C172" s="245" t="str">
        <f>OF!C109</f>
        <v>From a topographic map and field observations, estimate the approximate boundaries of the catchment (CA) of the entire wetland of which the AA may be only a part. Then adjust those boundaries if necessary based on your field observations of the surrounding terrain, and/or by using procedures described in the Manual.  Divide the area of the wetland (not just the AA) by the approximate area of its catchment excluding the area of the wetland itself.  When doing the calculation, if ponded water is adjacent to the wetland, include that in the wetland's area.  The result is:</v>
      </c>
      <c r="D172" s="205"/>
      <c r="E172" s="186"/>
      <c r="F172" s="189"/>
      <c r="G172" s="332">
        <f>MAX(F173:F176)/MAX(E173:E176)</f>
        <v>0</v>
      </c>
      <c r="H172" s="1696" t="s">
        <v>590</v>
      </c>
      <c r="I172" s="1669" t="s">
        <v>406</v>
      </c>
    </row>
    <row r="173" spans="1:9" ht="15" customHeight="1" x14ac:dyDescent="0.2">
      <c r="A173" s="1703"/>
      <c r="B173" s="1696"/>
      <c r="C173" s="243" t="str">
        <f>OF!C110</f>
        <v>&lt;0.01, or catchment size unknown due to stormwater pipes that collect water from an indeterminate area.</v>
      </c>
      <c r="D173" s="145">
        <f>OF!D110</f>
        <v>0</v>
      </c>
      <c r="E173" s="187">
        <v>3</v>
      </c>
      <c r="F173" s="187">
        <f>D173*E173</f>
        <v>0</v>
      </c>
      <c r="G173" s="383"/>
      <c r="H173" s="1696"/>
      <c r="I173" s="1670"/>
    </row>
    <row r="174" spans="1:9" ht="15" customHeight="1" x14ac:dyDescent="0.2">
      <c r="A174" s="1703"/>
      <c r="B174" s="1696"/>
      <c r="C174" s="244" t="str">
        <f>OF!C111</f>
        <v>0.01 to 0.1.</v>
      </c>
      <c r="D174" s="146">
        <f>OF!D111</f>
        <v>0</v>
      </c>
      <c r="E174" s="187">
        <v>2</v>
      </c>
      <c r="F174" s="187">
        <f>D174*E174</f>
        <v>0</v>
      </c>
      <c r="G174" s="384"/>
      <c r="H174" s="1696"/>
      <c r="I174" s="1670"/>
    </row>
    <row r="175" spans="1:9" ht="15" customHeight="1" x14ac:dyDescent="0.2">
      <c r="A175" s="1703"/>
      <c r="B175" s="1696"/>
      <c r="C175" s="244" t="str">
        <f>OF!C112</f>
        <v>0.1 to 1.</v>
      </c>
      <c r="D175" s="146">
        <f>OF!D112</f>
        <v>0</v>
      </c>
      <c r="E175" s="187">
        <v>1</v>
      </c>
      <c r="F175" s="187">
        <f>D175*E175</f>
        <v>0</v>
      </c>
      <c r="G175" s="384"/>
      <c r="H175" s="1696"/>
      <c r="I175" s="1670"/>
    </row>
    <row r="176" spans="1:9" ht="27.6" customHeight="1" thickBot="1" x14ac:dyDescent="0.25">
      <c r="A176" s="1722"/>
      <c r="B176" s="1712"/>
      <c r="C176" s="242" t="str">
        <f>OF!C113</f>
        <v xml:space="preserve">&gt;1 (wetland is larger than its catchment (e.g., wetland with flat surrounding terrain and no inlet, or is entirely isolated by dikes, or is a raised bog). </v>
      </c>
      <c r="D176" s="147">
        <f>OF!D113</f>
        <v>0</v>
      </c>
      <c r="E176" s="188">
        <v>0</v>
      </c>
      <c r="F176" s="188">
        <f>D176*E176</f>
        <v>0</v>
      </c>
      <c r="G176" s="385"/>
      <c r="H176" s="1712"/>
      <c r="I176" s="1671"/>
    </row>
    <row r="177" spans="1:32" ht="45" customHeight="1" thickBot="1" x14ac:dyDescent="0.25">
      <c r="A177" s="1853" t="str">
        <f>OF!A114</f>
        <v>OF23</v>
      </c>
      <c r="B177" s="1696" t="str">
        <f>OF!B114</f>
        <v>Unvegetated Surface in the Contributing Area</v>
      </c>
      <c r="C177" s="245" t="str">
        <f>OF!C114</f>
        <v>The proportion of the AA's contributing area (measured to no more than 1000 m upslope) that is comprised of buildings, roads, parking lots, other pavement, exposed bedrock, landslides, and other mostly-bare surface is about :</v>
      </c>
      <c r="D177" s="186"/>
      <c r="E177" s="186"/>
      <c r="F177" s="189"/>
      <c r="G177" s="332">
        <f>IF((NoCA=1),"", MAX(F178:F180)/MAX(E178:E180))</f>
        <v>0</v>
      </c>
      <c r="H177" s="1696" t="s">
        <v>591</v>
      </c>
      <c r="I177" s="1669" t="s">
        <v>407</v>
      </c>
    </row>
    <row r="178" spans="1:32" ht="15" customHeight="1" x14ac:dyDescent="0.2">
      <c r="A178" s="1853"/>
      <c r="B178" s="1696"/>
      <c r="C178" s="1324" t="str">
        <f>OF!C115</f>
        <v>&lt;10%.</v>
      </c>
      <c r="D178" s="129">
        <f>OF!D115</f>
        <v>0</v>
      </c>
      <c r="E178" s="187">
        <v>0</v>
      </c>
      <c r="F178" s="187">
        <f>D178*E178</f>
        <v>0</v>
      </c>
      <c r="G178" s="383"/>
      <c r="H178" s="1696"/>
      <c r="I178" s="1670"/>
    </row>
    <row r="179" spans="1:32" ht="15" customHeight="1" x14ac:dyDescent="0.2">
      <c r="A179" s="1853"/>
      <c r="B179" s="1696"/>
      <c r="C179" s="1058" t="str">
        <f>OF!C116</f>
        <v>10 to 25%.</v>
      </c>
      <c r="D179" s="33">
        <f>OF!D116</f>
        <v>0</v>
      </c>
      <c r="E179" s="187">
        <v>1</v>
      </c>
      <c r="F179" s="187">
        <f>D179*E179</f>
        <v>0</v>
      </c>
      <c r="G179" s="384"/>
      <c r="H179" s="1696"/>
      <c r="I179" s="1670"/>
    </row>
    <row r="180" spans="1:32" ht="15" customHeight="1" thickBot="1" x14ac:dyDescent="0.25">
      <c r="A180" s="1853"/>
      <c r="B180" s="1696"/>
      <c r="C180" s="1334" t="str">
        <f>OF!C117</f>
        <v>&gt;25%.</v>
      </c>
      <c r="D180" s="128">
        <f>OF!D117</f>
        <v>0</v>
      </c>
      <c r="E180" s="190">
        <v>2</v>
      </c>
      <c r="F180" s="190">
        <f>D180*E180</f>
        <v>0</v>
      </c>
      <c r="G180" s="391"/>
      <c r="H180" s="1696"/>
      <c r="I180" s="1671"/>
    </row>
    <row r="181" spans="1:32" ht="126" customHeight="1" thickBot="1" x14ac:dyDescent="0.25">
      <c r="A181" s="1669" t="str">
        <f>OF!A118</f>
        <v>OF24</v>
      </c>
      <c r="B181" s="1693" t="str">
        <f>OF!B118</f>
        <v>Transport From Upslope</v>
      </c>
      <c r="C181" s="240" t="str">
        <f>OF!C118</f>
        <v>A relatively large proportion of the precipitation that falls farther upslope in the CA reaches this wetland quickly as runoff (surface water), as indicated by the following: 
(a) input channel is present,
(b) input channels have been straightened,
(c) upslope wetlands have been ditched extensively,
(d) land cover is mostly non-forest,
(e) CA slopes are steep, and/or
(f) most CA soils are shallow (bedrock near surface) and/or have high runoff coefficients. 
This statement is:</v>
      </c>
      <c r="D181" s="191"/>
      <c r="E181" s="191"/>
      <c r="F181" s="192"/>
      <c r="G181" s="318">
        <f>IF((NoCA=1),"", MAX(F182:F184)/MAX(E182:E184))</f>
        <v>0</v>
      </c>
      <c r="H181" s="1693" t="s">
        <v>592</v>
      </c>
      <c r="I181" s="1669" t="s">
        <v>408</v>
      </c>
    </row>
    <row r="182" spans="1:32" ht="15" customHeight="1" x14ac:dyDescent="0.2">
      <c r="A182" s="1670"/>
      <c r="B182" s="1696"/>
      <c r="C182" s="1324" t="str">
        <f>OF!C119</f>
        <v>Mostly true.</v>
      </c>
      <c r="D182" s="129">
        <f>OF!D119</f>
        <v>0</v>
      </c>
      <c r="E182" s="187">
        <v>2</v>
      </c>
      <c r="F182" s="187">
        <f>D182*E182</f>
        <v>0</v>
      </c>
      <c r="G182" s="383"/>
      <c r="H182" s="1696"/>
      <c r="I182" s="1670"/>
    </row>
    <row r="183" spans="1:32" ht="15" customHeight="1" x14ac:dyDescent="0.2">
      <c r="A183" s="1670"/>
      <c r="B183" s="1696"/>
      <c r="C183" s="1058" t="str">
        <f>OF!C120</f>
        <v>Somewhat true.</v>
      </c>
      <c r="D183" s="33">
        <f>OF!D120</f>
        <v>0</v>
      </c>
      <c r="E183" s="187">
        <v>1</v>
      </c>
      <c r="F183" s="187">
        <f>D183*E183</f>
        <v>0</v>
      </c>
      <c r="G183" s="384"/>
      <c r="H183" s="1696"/>
      <c r="I183" s="1670"/>
    </row>
    <row r="184" spans="1:32" ht="15" customHeight="1" thickBot="1" x14ac:dyDescent="0.25">
      <c r="A184" s="1671"/>
      <c r="B184" s="1712"/>
      <c r="C184" s="1061" t="str">
        <f>OF!C121</f>
        <v>Mostly untrue.</v>
      </c>
      <c r="D184" s="84">
        <f>OF!D121</f>
        <v>0</v>
      </c>
      <c r="E184" s="188">
        <v>0</v>
      </c>
      <c r="F184" s="188">
        <f>D184*E184</f>
        <v>0</v>
      </c>
      <c r="G184" s="385"/>
      <c r="H184" s="1712"/>
      <c r="I184" s="1671"/>
    </row>
    <row r="185" spans="1:32" ht="30" customHeight="1" thickBot="1" x14ac:dyDescent="0.25">
      <c r="A185" s="1669" t="str">
        <f>F!A51</f>
        <v>F9</v>
      </c>
      <c r="B185" s="1670" t="str">
        <f>F!B51</f>
        <v>N Fixers</v>
      </c>
      <c r="C185" s="245" t="str">
        <f>F!C51</f>
        <v>The percentage of the AA's vegetated cover that contains nitrogen-fixing plants (e.g., alder, sweetgale, clover, lupine, alfalfa, other legumes) is:</v>
      </c>
      <c r="D185" s="191"/>
      <c r="E185" s="186"/>
      <c r="F185" s="186"/>
      <c r="G185" s="332">
        <f>MAX(F186:F190)/MAX(E186:E190)</f>
        <v>0</v>
      </c>
      <c r="H185" s="1670" t="s">
        <v>1550</v>
      </c>
      <c r="I185" s="1669" t="s">
        <v>390</v>
      </c>
    </row>
    <row r="186" spans="1:32" ht="15" customHeight="1" x14ac:dyDescent="0.2">
      <c r="A186" s="1670"/>
      <c r="B186" s="1670"/>
      <c r="C186" s="14" t="str">
        <f>F!C52</f>
        <v>&lt;1% or none.</v>
      </c>
      <c r="D186" s="129">
        <f>F!D52</f>
        <v>0</v>
      </c>
      <c r="E186" s="186">
        <v>0</v>
      </c>
      <c r="F186" s="190">
        <f>D186*E186</f>
        <v>0</v>
      </c>
      <c r="G186" s="384"/>
      <c r="H186" s="1670"/>
      <c r="I186" s="1670"/>
    </row>
    <row r="187" spans="1:32" ht="15" customHeight="1" x14ac:dyDescent="0.2">
      <c r="A187" s="1670"/>
      <c r="B187" s="1670"/>
      <c r="C187" s="4" t="str">
        <f>F!C53</f>
        <v>1-25% of the vegetated cover, in the AA or along its water edge (whichever has more).</v>
      </c>
      <c r="D187" s="33">
        <f>F!D53</f>
        <v>0</v>
      </c>
      <c r="E187" s="186">
        <v>1</v>
      </c>
      <c r="F187" s="190">
        <f>D187*E187</f>
        <v>0</v>
      </c>
      <c r="G187" s="384"/>
      <c r="H187" s="1670"/>
      <c r="I187" s="1670"/>
    </row>
    <row r="188" spans="1:32" ht="15" customHeight="1" x14ac:dyDescent="0.2">
      <c r="A188" s="1670"/>
      <c r="B188" s="1670"/>
      <c r="C188" s="4" t="str">
        <f>F!C54</f>
        <v>25-50% of the vegetated cover, in the AA or along its water edge (whichever has more).</v>
      </c>
      <c r="D188" s="33">
        <f>F!D54</f>
        <v>0</v>
      </c>
      <c r="E188" s="186">
        <v>2</v>
      </c>
      <c r="F188" s="190">
        <f>D188*E188</f>
        <v>0</v>
      </c>
      <c r="G188" s="384"/>
      <c r="H188" s="1670"/>
      <c r="I188" s="1670"/>
    </row>
    <row r="189" spans="1:32" ht="15" customHeight="1" x14ac:dyDescent="0.2">
      <c r="A189" s="1670"/>
      <c r="B189" s="1670"/>
      <c r="C189" s="4" t="str">
        <f>F!C55</f>
        <v>50-75% of the vegetated cover, in the AA or along its water edge (whichever has more).</v>
      </c>
      <c r="D189" s="33">
        <f>F!D55</f>
        <v>0</v>
      </c>
      <c r="E189" s="186">
        <v>3</v>
      </c>
      <c r="F189" s="190">
        <f>D189*E189</f>
        <v>0</v>
      </c>
      <c r="G189" s="384"/>
      <c r="H189" s="1670"/>
      <c r="I189" s="1670"/>
    </row>
    <row r="190" spans="1:32" ht="15" customHeight="1" thickBot="1" x14ac:dyDescent="0.25">
      <c r="A190" s="1671"/>
      <c r="B190" s="1670"/>
      <c r="C190" s="241" t="str">
        <f>F!C56</f>
        <v>&gt;75% of the vegetated cover, in the AA or along its water edge (whichever has more).</v>
      </c>
      <c r="D190" s="128">
        <f>F!D56</f>
        <v>0</v>
      </c>
      <c r="E190" s="206">
        <v>4</v>
      </c>
      <c r="F190" s="190">
        <f>D190*E190</f>
        <v>0</v>
      </c>
      <c r="G190" s="391"/>
      <c r="H190" s="1670"/>
      <c r="I190" s="1671"/>
    </row>
    <row r="191" spans="1:32" ht="60" customHeight="1" thickBot="1" x14ac:dyDescent="0.25">
      <c r="A191" s="708" t="str">
        <f>F!A216</f>
        <v>F44</v>
      </c>
      <c r="B191" s="750" t="str">
        <f>F!B216</f>
        <v>Tributary Channel</v>
      </c>
      <c r="C191" s="753" t="str">
        <f>F!C216</f>
        <v>At least once annually, surface water from a tributary channel that is &gt;100 m long moves into the AA.  Or, surface water from a larger permanent water body adjacent to the AA spills into the AA.  If it enters only via a pipe, that pipe must be fed by a mapped stream or lake further upslope. If no, SKIP to F47 (pH Measurement).</v>
      </c>
      <c r="D191" s="751">
        <f>F!D216</f>
        <v>0</v>
      </c>
      <c r="E191" s="752"/>
      <c r="F191" s="390"/>
      <c r="G191" s="902">
        <f>D191</f>
        <v>0</v>
      </c>
      <c r="H191" s="435" t="s">
        <v>581</v>
      </c>
      <c r="I191" s="435" t="s">
        <v>1663</v>
      </c>
    </row>
    <row r="192" spans="1:32" s="703" customFormat="1" ht="27.75" customHeight="1" thickBot="1" x14ac:dyDescent="0.25">
      <c r="A192" s="1862" t="str">
        <f>F!A228</f>
        <v>F48</v>
      </c>
      <c r="B192" s="1666" t="str">
        <f>F!B228</f>
        <v>TDS and/or Conductivity</v>
      </c>
      <c r="C192" s="119" t="str">
        <f>F!C228</f>
        <v>The TDS (total dissolved solids) or conductivity off the AA's surface water is: (select the first true row with information):</v>
      </c>
      <c r="D192" s="752"/>
      <c r="E192" s="752"/>
      <c r="F192" s="393"/>
      <c r="G192" s="318" t="str">
        <f>IF((D196=1),"",IF((D196&gt;300),1, IF((D195&gt;200),1, IF((D195=1),1, ""))))</f>
        <v/>
      </c>
      <c r="H192" s="1669" t="s">
        <v>1584</v>
      </c>
      <c r="I192" s="1669" t="s">
        <v>1583</v>
      </c>
      <c r="J192" s="2"/>
      <c r="K192" s="2"/>
      <c r="L192" s="2"/>
      <c r="M192" s="2"/>
      <c r="N192" s="2"/>
      <c r="O192" s="2"/>
      <c r="P192" s="2"/>
      <c r="Q192" s="2"/>
      <c r="R192" s="2"/>
      <c r="S192" s="2"/>
      <c r="T192" s="2"/>
      <c r="U192" s="2"/>
      <c r="V192" s="2"/>
      <c r="W192" s="2"/>
      <c r="X192" s="2"/>
      <c r="Y192" s="2"/>
      <c r="Z192" s="2"/>
      <c r="AA192" s="2"/>
      <c r="AB192" s="2"/>
      <c r="AC192" s="2"/>
      <c r="AD192" s="2"/>
      <c r="AE192" s="2"/>
      <c r="AF192" s="2"/>
    </row>
    <row r="193" spans="1:32" ht="15" customHeight="1" thickBot="1" x14ac:dyDescent="0.25">
      <c r="A193" s="1723"/>
      <c r="B193" s="1667"/>
      <c r="C193" s="1426" t="str">
        <f>F!C229</f>
        <v>TDS is: [Enter the reading in ppm or mg/L in the column to the right, if measured, or answer next row.]</v>
      </c>
      <c r="D193" s="1424" t="str">
        <f>IF((F!D229=""),"",F!D229)</f>
        <v/>
      </c>
      <c r="E193" s="203"/>
      <c r="F193" s="187"/>
      <c r="G193" s="189"/>
      <c r="H193" s="1670"/>
      <c r="I193" s="1670"/>
    </row>
    <row r="194" spans="1:32" ht="15" customHeight="1" thickBot="1" x14ac:dyDescent="0.25">
      <c r="A194" s="1723"/>
      <c r="B194" s="1667"/>
      <c r="C194" s="1427" t="str">
        <f>F!C230</f>
        <v>Conductivity is  [Enter the reading in µS/cm in the column to the right.]</v>
      </c>
      <c r="D194" s="1424" t="str">
        <f>IF((F!D230=""),"",F!D230)</f>
        <v/>
      </c>
      <c r="E194" s="203"/>
      <c r="F194" s="187"/>
      <c r="G194" s="212"/>
      <c r="H194" s="1670"/>
      <c r="I194" s="1670"/>
    </row>
    <row r="195" spans="1:32" ht="15" customHeight="1" x14ac:dyDescent="0.2">
      <c r="A195" s="1723"/>
      <c r="B195" s="1667"/>
      <c r="C195" s="285" t="str">
        <f>F!C231</f>
        <v>Was not measured, but plants that indicate saline conditions cover much of the vegetated AA. Enter "1".</v>
      </c>
      <c r="D195" s="1349">
        <f>F!D231</f>
        <v>0</v>
      </c>
      <c r="E195" s="187"/>
      <c r="F195" s="187"/>
      <c r="G195" s="212"/>
      <c r="H195" s="1670"/>
      <c r="I195" s="1670"/>
    </row>
    <row r="196" spans="1:32" s="626" customFormat="1" ht="15" customHeight="1" thickBot="1" x14ac:dyDescent="0.25">
      <c r="A196" s="1863"/>
      <c r="B196" s="1667"/>
      <c r="C196" s="287" t="str">
        <f>F!C232</f>
        <v>Neither of above</v>
      </c>
      <c r="D196" s="693">
        <f>F!D232</f>
        <v>0</v>
      </c>
      <c r="E196" s="1128"/>
      <c r="F196" s="200"/>
      <c r="G196" s="200"/>
      <c r="H196" s="1671"/>
      <c r="I196" s="1671"/>
      <c r="J196" s="2"/>
      <c r="K196" s="2"/>
      <c r="L196" s="2"/>
      <c r="M196" s="2"/>
      <c r="N196" s="2"/>
      <c r="O196" s="2"/>
      <c r="P196" s="2"/>
      <c r="Q196" s="2"/>
      <c r="R196" s="2"/>
      <c r="S196" s="2"/>
      <c r="T196" s="2"/>
      <c r="U196" s="2"/>
      <c r="V196" s="2"/>
      <c r="W196" s="2"/>
      <c r="X196" s="2"/>
      <c r="Y196" s="2"/>
      <c r="Z196" s="2"/>
      <c r="AA196" s="2"/>
      <c r="AB196" s="2"/>
      <c r="AC196" s="2"/>
      <c r="AD196" s="2"/>
      <c r="AE196" s="2"/>
      <c r="AF196" s="2"/>
    </row>
    <row r="197" spans="1:32" ht="45" customHeight="1" thickBot="1" x14ac:dyDescent="0.25">
      <c r="A197" s="1696" t="str">
        <f>F!A247</f>
        <v>F52</v>
      </c>
      <c r="B197" s="1693" t="str">
        <f>F!B247</f>
        <v>Vegetated Buffer as % of Perimeter</v>
      </c>
      <c r="C197" s="3" t="str">
        <f>F!C247</f>
        <v>Within a zone extending 30 m laterally from the AA's edge with upland and/or other wetlands, the percentage that contains perennial vegetation cover (except lawns, row crops, heavily grazed land, conifer plantations) is:</v>
      </c>
      <c r="D197" s="390"/>
      <c r="E197" s="191"/>
      <c r="F197" s="394"/>
      <c r="G197" s="452">
        <f>MAX(F198:F202)/MAX(E198:E202)</f>
        <v>0</v>
      </c>
      <c r="H197" s="1670" t="s">
        <v>1301</v>
      </c>
      <c r="I197" s="1670" t="s">
        <v>402</v>
      </c>
    </row>
    <row r="198" spans="1:32" ht="15" customHeight="1" x14ac:dyDescent="0.2">
      <c r="A198" s="1696"/>
      <c r="B198" s="1696"/>
      <c r="C198" s="703" t="str">
        <f>F!C248</f>
        <v>&lt;5%.</v>
      </c>
      <c r="D198" s="33">
        <f>F!D248</f>
        <v>0</v>
      </c>
      <c r="E198" s="203">
        <v>4</v>
      </c>
      <c r="F198" s="187">
        <f>D198*E198</f>
        <v>0</v>
      </c>
      <c r="G198" s="461"/>
      <c r="H198" s="1670"/>
      <c r="I198" s="1670"/>
    </row>
    <row r="199" spans="1:32" ht="15" customHeight="1" x14ac:dyDescent="0.2">
      <c r="A199" s="1696"/>
      <c r="B199" s="1696"/>
      <c r="C199" s="4" t="str">
        <f>F!C249</f>
        <v>5 to 30%.</v>
      </c>
      <c r="D199" s="900">
        <f>F!D249</f>
        <v>0</v>
      </c>
      <c r="E199" s="203">
        <v>3</v>
      </c>
      <c r="F199" s="187">
        <f>D199*E199</f>
        <v>0</v>
      </c>
      <c r="G199" s="462"/>
      <c r="H199" s="1670"/>
      <c r="I199" s="1670"/>
    </row>
    <row r="200" spans="1:32" ht="15" customHeight="1" x14ac:dyDescent="0.2">
      <c r="A200" s="1696"/>
      <c r="B200" s="1696"/>
      <c r="C200" s="4" t="str">
        <f>F!C250</f>
        <v>30 to 60%.</v>
      </c>
      <c r="D200" s="33">
        <f>F!D250</f>
        <v>0</v>
      </c>
      <c r="E200" s="203">
        <v>2</v>
      </c>
      <c r="F200" s="187">
        <f>D200*E200</f>
        <v>0</v>
      </c>
      <c r="G200" s="462"/>
      <c r="H200" s="1670"/>
      <c r="I200" s="1670"/>
    </row>
    <row r="201" spans="1:32" ht="15" customHeight="1" x14ac:dyDescent="0.2">
      <c r="A201" s="1696"/>
      <c r="B201" s="1696"/>
      <c r="C201" s="4" t="str">
        <f>F!C251</f>
        <v>60 to 90%.</v>
      </c>
      <c r="D201" s="129">
        <f>F!D251</f>
        <v>0</v>
      </c>
      <c r="E201" s="203">
        <v>1</v>
      </c>
      <c r="F201" s="187">
        <f>D201*E201</f>
        <v>0</v>
      </c>
      <c r="G201" s="462"/>
      <c r="H201" s="1670"/>
      <c r="I201" s="1670"/>
    </row>
    <row r="202" spans="1:32" ht="15" customHeight="1" thickBot="1" x14ac:dyDescent="0.25">
      <c r="A202" s="1712"/>
      <c r="B202" s="1712"/>
      <c r="C202" s="626" t="str">
        <f>F!C252</f>
        <v>&gt;90%, or all the area within 30 m of the AA edge is other wetlands. SKIP to F55.</v>
      </c>
      <c r="D202" s="151">
        <f>F!D252</f>
        <v>0</v>
      </c>
      <c r="E202" s="204">
        <v>0</v>
      </c>
      <c r="F202" s="188">
        <f>D202*E202</f>
        <v>0</v>
      </c>
      <c r="G202" s="463"/>
      <c r="H202" s="1671"/>
      <c r="I202" s="1671"/>
    </row>
    <row r="203" spans="1:32" ht="30" customHeight="1" thickBot="1" x14ac:dyDescent="0.25">
      <c r="A203" s="1670" t="str">
        <f>F!A253</f>
        <v>F53</v>
      </c>
      <c r="B203" s="1670" t="str">
        <f>F!B253</f>
        <v>Type of Cover in Buffer</v>
      </c>
      <c r="C203" s="240" t="str">
        <f>F!C253</f>
        <v>Within 30 m upslope of where the wetland transitions to upland, the upland land cover that is NOT perennial vegetation is mostly (mark ONE):</v>
      </c>
      <c r="D203" s="390"/>
      <c r="E203" s="186"/>
      <c r="F203" s="186"/>
      <c r="G203" s="332">
        <f>IF((BuffAllNat=1),"",MAX(F204:F205)/MAX(E204:E205))</f>
        <v>0</v>
      </c>
      <c r="H203" s="1670" t="s">
        <v>1555</v>
      </c>
      <c r="I203" s="1669" t="s">
        <v>1053</v>
      </c>
    </row>
    <row r="204" spans="1:32" ht="15" customHeight="1" x14ac:dyDescent="0.2">
      <c r="A204" s="1670"/>
      <c r="B204" s="1670"/>
      <c r="C204" s="703" t="str">
        <f>F!C254</f>
        <v>Impervious surface, e.g., paved road, parking lot, building, exposed rock.</v>
      </c>
      <c r="D204" s="128">
        <f>F!D254</f>
        <v>0</v>
      </c>
      <c r="E204" s="203">
        <v>2</v>
      </c>
      <c r="F204" s="190">
        <f>D204*E204</f>
        <v>0</v>
      </c>
      <c r="G204" s="384"/>
      <c r="H204" s="1670"/>
      <c r="I204" s="1670"/>
    </row>
    <row r="205" spans="1:32" ht="27" customHeight="1" thickBot="1" x14ac:dyDescent="0.25">
      <c r="A205" s="1670"/>
      <c r="B205" s="1670"/>
      <c r="C205" s="399" t="str">
        <f>F!C255</f>
        <v>Bare or nearly bare pervious surface or managed vegetation, e.g., lawn, row crops, unpaved road, dike, landslide.</v>
      </c>
      <c r="D205" s="84">
        <f>F!D255</f>
        <v>0</v>
      </c>
      <c r="E205" s="321">
        <v>1</v>
      </c>
      <c r="F205" s="190">
        <f>D205*E205</f>
        <v>0</v>
      </c>
      <c r="G205" s="391"/>
      <c r="H205" s="1670"/>
      <c r="I205" s="1671"/>
    </row>
    <row r="206" spans="1:32" ht="30" customHeight="1" thickBot="1" x14ac:dyDescent="0.25">
      <c r="A206" s="1669" t="str">
        <f>F!A256</f>
        <v>F54</v>
      </c>
      <c r="B206" s="1669" t="str">
        <f>F!B256</f>
        <v xml:space="preserve">Buffer Slope </v>
      </c>
      <c r="C206" s="240" t="str">
        <f>F!C256</f>
        <v>The steepest and/or most disturbed part of the upland area that is within 30 m of the wetland and occupies &gt;10% of that upland area has a percent slope of:</v>
      </c>
      <c r="D206" s="759"/>
      <c r="E206" s="191"/>
      <c r="F206" s="192"/>
      <c r="G206" s="318">
        <f>IF((NoCA=1),"",IF((BuffAllNat=1),"",MAX(F207:F210)/MAX(E207:E210)))</f>
        <v>0</v>
      </c>
      <c r="H206" s="1669" t="s">
        <v>588</v>
      </c>
      <c r="I206" s="1669" t="s">
        <v>403</v>
      </c>
    </row>
    <row r="207" spans="1:32" ht="18" customHeight="1" x14ac:dyDescent="0.2">
      <c r="A207" s="1670"/>
      <c r="B207" s="1670"/>
      <c r="C207" s="703" t="str">
        <f>F!C257</f>
        <v>&lt;1% (flat -- almost no noticeable slope) or all the area within 30 m of the AA edge is other wetlands.</v>
      </c>
      <c r="D207" s="33">
        <f>F!D257</f>
        <v>0</v>
      </c>
      <c r="E207" s="203">
        <v>0</v>
      </c>
      <c r="F207" s="187">
        <f>D207*E207</f>
        <v>0</v>
      </c>
      <c r="G207" s="383"/>
      <c r="H207" s="1670"/>
      <c r="I207" s="1670"/>
    </row>
    <row r="208" spans="1:32" ht="18" customHeight="1" x14ac:dyDescent="0.2">
      <c r="A208" s="1670"/>
      <c r="B208" s="1670"/>
      <c r="C208" s="4" t="str">
        <f>F!C258</f>
        <v>2-5%.</v>
      </c>
      <c r="D208" s="33">
        <f>F!D258</f>
        <v>0</v>
      </c>
      <c r="E208" s="203">
        <v>1</v>
      </c>
      <c r="F208" s="187">
        <f>D208*E208</f>
        <v>0</v>
      </c>
      <c r="G208" s="384"/>
      <c r="H208" s="1670"/>
      <c r="I208" s="1670"/>
    </row>
    <row r="209" spans="1:9" ht="18" customHeight="1" x14ac:dyDescent="0.2">
      <c r="A209" s="1670"/>
      <c r="B209" s="1670"/>
      <c r="C209" s="4" t="str">
        <f>F!C259</f>
        <v>5-30%.</v>
      </c>
      <c r="D209" s="129">
        <f>F!D259</f>
        <v>0</v>
      </c>
      <c r="E209" s="203">
        <v>2</v>
      </c>
      <c r="F209" s="187">
        <f>D209*E209</f>
        <v>0</v>
      </c>
      <c r="G209" s="384"/>
      <c r="H209" s="1670"/>
      <c r="I209" s="1670"/>
    </row>
    <row r="210" spans="1:9" ht="18" customHeight="1" thickBot="1" x14ac:dyDescent="0.25">
      <c r="A210" s="1671"/>
      <c r="B210" s="1671"/>
      <c r="C210" s="381" t="str">
        <f>F!C260</f>
        <v>&gt;30%.</v>
      </c>
      <c r="D210" s="841">
        <f>F!D260</f>
        <v>0</v>
      </c>
      <c r="E210" s="204">
        <v>3</v>
      </c>
      <c r="F210" s="188">
        <f>D210*E210</f>
        <v>0</v>
      </c>
      <c r="G210" s="385"/>
      <c r="H210" s="1671"/>
      <c r="I210" s="1671"/>
    </row>
    <row r="211" spans="1:9" ht="21" customHeight="1" thickBot="1" x14ac:dyDescent="0.25">
      <c r="A211" s="1696" t="str">
        <f>F!A303</f>
        <v>F65</v>
      </c>
      <c r="B211" s="1693" t="str">
        <f>F!B303</f>
        <v>Domestic Wells</v>
      </c>
      <c r="C211" s="245" t="str">
        <f>F!C303</f>
        <v>The closest wells or water bodies that currently provide drinking water are:</v>
      </c>
      <c r="D211" s="191"/>
      <c r="E211" s="186"/>
      <c r="F211" s="189"/>
      <c r="G211" s="332">
        <f>MAX(F212:F214)/MAX(E212:E214)</f>
        <v>0</v>
      </c>
      <c r="H211" s="1669" t="s">
        <v>589</v>
      </c>
      <c r="I211" s="1669" t="s">
        <v>404</v>
      </c>
    </row>
    <row r="212" spans="1:9" ht="15" customHeight="1" x14ac:dyDescent="0.2">
      <c r="A212" s="1696"/>
      <c r="B212" s="1696"/>
      <c r="C212" s="599" t="str">
        <f>F!C304</f>
        <v>Within 0-100 m. of the AA.</v>
      </c>
      <c r="D212" s="128">
        <f>F!D304</f>
        <v>0</v>
      </c>
      <c r="E212" s="203">
        <v>2</v>
      </c>
      <c r="F212" s="187">
        <f>D212*E212</f>
        <v>0</v>
      </c>
      <c r="G212" s="383"/>
      <c r="H212" s="1670"/>
      <c r="I212" s="1670"/>
    </row>
    <row r="213" spans="1:9" ht="15" customHeight="1" x14ac:dyDescent="0.2">
      <c r="A213" s="1696"/>
      <c r="B213" s="1696"/>
      <c r="C213" s="4" t="str">
        <f>F!C305</f>
        <v>100-500 m. away.</v>
      </c>
      <c r="D213" s="33">
        <f>F!D305</f>
        <v>0</v>
      </c>
      <c r="E213" s="203">
        <v>1</v>
      </c>
      <c r="F213" s="187">
        <f>D213*E213</f>
        <v>0</v>
      </c>
      <c r="G213" s="384"/>
      <c r="H213" s="1670"/>
      <c r="I213" s="1670"/>
    </row>
    <row r="214" spans="1:9" ht="15" customHeight="1" thickBot="1" x14ac:dyDescent="0.25">
      <c r="A214" s="1696"/>
      <c r="B214" s="1712"/>
      <c r="C214" s="381" t="str">
        <f>F!C306</f>
        <v>&gt;500 m. away, or no information.</v>
      </c>
      <c r="D214" s="151">
        <f>F!D306</f>
        <v>0</v>
      </c>
      <c r="E214" s="321">
        <v>0</v>
      </c>
      <c r="F214" s="190">
        <f>D214*E214</f>
        <v>0</v>
      </c>
      <c r="G214" s="391"/>
      <c r="H214" s="1671"/>
      <c r="I214" s="1671"/>
    </row>
    <row r="215" spans="1:9" s="29" customFormat="1" ht="30" customHeight="1" thickBot="1" x14ac:dyDescent="0.25">
      <c r="A215" s="338" t="str">
        <f>S!A25</f>
        <v>S2</v>
      </c>
      <c r="B215" s="60" t="str">
        <f>S!B38</f>
        <v>Accelerated Inputs of Nutrients</v>
      </c>
      <c r="C215" s="1351" t="s">
        <v>978</v>
      </c>
      <c r="D215" s="1352">
        <f>S!F50</f>
        <v>0</v>
      </c>
      <c r="E215" s="354"/>
      <c r="F215" s="360"/>
      <c r="G215" s="347">
        <f>D215</f>
        <v>0</v>
      </c>
      <c r="H215" s="36" t="s">
        <v>963</v>
      </c>
      <c r="I215" s="3" t="s">
        <v>1010</v>
      </c>
    </row>
    <row r="216" spans="1:9" ht="21" customHeight="1" thickBot="1" x14ac:dyDescent="0.25">
      <c r="A216" s="1859"/>
      <c r="B216" s="1859"/>
      <c r="C216" s="1859"/>
      <c r="D216" s="1859"/>
      <c r="E216" s="1859"/>
      <c r="F216" s="1859"/>
      <c r="G216" s="1859"/>
      <c r="H216" s="1859"/>
      <c r="I216" s="1859"/>
    </row>
    <row r="217" spans="1:9" ht="30" customHeight="1" x14ac:dyDescent="0.2">
      <c r="A217" s="1841" t="s">
        <v>912</v>
      </c>
      <c r="B217" s="1841"/>
      <c r="C217" s="1841"/>
      <c r="D217" s="1944" t="s">
        <v>1011</v>
      </c>
      <c r="E217" s="1945"/>
      <c r="F217" s="1945"/>
      <c r="G217" s="916">
        <f xml:space="preserve"> AVERAGE(AVERAGE(WoodyTyp4,Groundw4,TreeCanop4),AVERAGE(Elev4,Warmth4,Aspect4))</f>
        <v>0</v>
      </c>
      <c r="H217" s="1029" t="s">
        <v>2078</v>
      </c>
      <c r="I217" s="1030" t="s">
        <v>2112</v>
      </c>
    </row>
    <row r="218" spans="1:9" ht="30" customHeight="1" x14ac:dyDescent="0.2">
      <c r="A218" s="1841"/>
      <c r="B218" s="1841"/>
      <c r="C218" s="1841"/>
      <c r="D218" s="1946" t="s">
        <v>1012</v>
      </c>
      <c r="E218" s="1947"/>
      <c r="F218" s="1947"/>
      <c r="G218" s="917">
        <f xml:space="preserve"> AVERAGE(PondPct4,VwidthAbs4, FloDist4,Gcover4,ThruFlo4,Interspers4, Elev4,WetPctCA4)</f>
        <v>0</v>
      </c>
      <c r="H218" s="1016" t="s">
        <v>2079</v>
      </c>
      <c r="I218" s="1031" t="s">
        <v>2113</v>
      </c>
    </row>
    <row r="219" spans="1:9" ht="21" customHeight="1" x14ac:dyDescent="0.2">
      <c r="A219" s="1841"/>
      <c r="B219" s="1841"/>
      <c r="C219" s="1841"/>
      <c r="D219" s="1946" t="s">
        <v>120</v>
      </c>
      <c r="E219" s="1947"/>
      <c r="F219" s="1947"/>
      <c r="G219" s="917">
        <f>AVERAGE(OutDura4,Gradient4,Constric4)</f>
        <v>0</v>
      </c>
      <c r="H219" s="1016" t="s">
        <v>2080</v>
      </c>
      <c r="I219" s="1031" t="s">
        <v>2114</v>
      </c>
    </row>
    <row r="220" spans="1:9" ht="21" customHeight="1" x14ac:dyDescent="0.2">
      <c r="A220" s="1841"/>
      <c r="B220" s="1841"/>
      <c r="C220" s="1841"/>
      <c r="D220" s="1946" t="s">
        <v>1137</v>
      </c>
      <c r="E220" s="1947"/>
      <c r="F220" s="1947"/>
      <c r="G220" s="917">
        <f>AVERAGE(Acid4,SoilTex4,Wettype4,NewWet,AqPlantCov4, SoilDisturb4)</f>
        <v>0</v>
      </c>
      <c r="H220" s="1016" t="s">
        <v>2081</v>
      </c>
      <c r="I220" s="1031" t="s">
        <v>2115</v>
      </c>
    </row>
    <row r="221" spans="1:9" ht="30" customHeight="1" thickBot="1" x14ac:dyDescent="0.25">
      <c r="A221" s="1841"/>
      <c r="B221" s="1841"/>
      <c r="C221" s="1841"/>
      <c r="D221" s="1948" t="s">
        <v>1013</v>
      </c>
      <c r="E221" s="1949"/>
      <c r="F221" s="1949"/>
      <c r="G221" s="918">
        <f>(AVERAGE(SatPct4,PermWpct4, SeasWpct4) + AVERAGE(Fluctu4, UpEdgeShape4, Inclus4, Girreg4))/2</f>
        <v>0</v>
      </c>
      <c r="H221" s="1032" t="s">
        <v>2082</v>
      </c>
      <c r="I221" s="1033" t="s">
        <v>2116</v>
      </c>
    </row>
    <row r="222" spans="1:9" ht="20.25" customHeight="1" thickBot="1" x14ac:dyDescent="0.25">
      <c r="A222" s="1841"/>
      <c r="B222" s="1841"/>
      <c r="C222" s="1841"/>
      <c r="D222" s="1841"/>
      <c r="E222" s="1841"/>
      <c r="F222" s="1841"/>
      <c r="G222" s="1841"/>
      <c r="H222" s="1841"/>
    </row>
    <row r="223" spans="1:9" ht="30" customHeight="1" thickBot="1" x14ac:dyDescent="0.25">
      <c r="A223" s="1841"/>
      <c r="B223" s="1871"/>
      <c r="C223" s="1941" t="s">
        <v>63</v>
      </c>
      <c r="D223" s="1942"/>
      <c r="E223" s="1943"/>
      <c r="F223" s="859" t="s">
        <v>52</v>
      </c>
      <c r="G223" s="914">
        <f>10*(IF((OutDura4=1),1,IF((AllSat1=1),((2*Connec4 + Intercep4 + FrozDur4 + Organic4 + Redox4)/6), (3*Redox4 + 2*Connec4 + FrozDur4 + Organic4 + Intercep4)/ 8)))</f>
        <v>0</v>
      </c>
      <c r="H223" s="1807" t="s">
        <v>2083</v>
      </c>
      <c r="I223" s="1808"/>
    </row>
    <row r="224" spans="1:9" ht="43.5" customHeight="1" thickBot="1" x14ac:dyDescent="0.25">
      <c r="A224" s="1841"/>
      <c r="B224" s="1871"/>
      <c r="C224" s="1941" t="s">
        <v>1908</v>
      </c>
      <c r="D224" s="1942"/>
      <c r="E224" s="1943"/>
      <c r="F224" s="1046" t="s">
        <v>2223</v>
      </c>
      <c r="G224" s="921">
        <f>10*MAX(Aquifer4,GWsens, Inflow4a,MAX(Nsource4,NsampUp, NsampDown,Nfix4), AVERAGE(Imperv4,PopDist4, RdDist4), AVERAGE(CAnatPct4,BuffSlope4,BuffCovTyp4,CApct4,Transport4, Conduc4))</f>
        <v>10</v>
      </c>
      <c r="H224" s="1931" t="s">
        <v>2224</v>
      </c>
      <c r="I224" s="1932"/>
    </row>
    <row r="225" spans="1:9" ht="21" customHeight="1" thickBot="1" x14ac:dyDescent="0.25">
      <c r="A225" s="1841"/>
      <c r="B225" s="1841"/>
      <c r="C225" s="1841"/>
      <c r="D225" s="1841"/>
      <c r="E225" s="1841"/>
      <c r="F225" s="1841"/>
      <c r="G225" s="1841"/>
      <c r="H225" s="1841"/>
      <c r="I225" s="1841"/>
    </row>
    <row r="226" spans="1:9" ht="21" customHeight="1" thickBot="1" x14ac:dyDescent="0.25">
      <c r="H226" s="1854" t="s">
        <v>669</v>
      </c>
      <c r="I226" s="1855"/>
    </row>
    <row r="227" spans="1:9" ht="27" customHeight="1" x14ac:dyDescent="0.2">
      <c r="H227" s="1721" t="s">
        <v>719</v>
      </c>
      <c r="I227" s="1856"/>
    </row>
    <row r="228" spans="1:9" ht="57" customHeight="1" x14ac:dyDescent="0.2">
      <c r="H228" s="1792" t="s">
        <v>720</v>
      </c>
      <c r="I228" s="1793"/>
    </row>
    <row r="229" spans="1:9" ht="54.75" customHeight="1" x14ac:dyDescent="0.2">
      <c r="H229" s="1792" t="s">
        <v>721</v>
      </c>
      <c r="I229" s="1793"/>
    </row>
    <row r="230" spans="1:9" ht="27" customHeight="1" x14ac:dyDescent="0.2">
      <c r="H230" s="1792" t="s">
        <v>1709</v>
      </c>
      <c r="I230" s="1793"/>
    </row>
    <row r="231" spans="1:9" ht="27" customHeight="1" x14ac:dyDescent="0.2">
      <c r="H231" s="1792" t="s">
        <v>1710</v>
      </c>
      <c r="I231" s="1793"/>
    </row>
    <row r="232" spans="1:9" ht="42" customHeight="1" x14ac:dyDescent="0.2">
      <c r="H232" s="1796" t="s">
        <v>1365</v>
      </c>
      <c r="I232" s="1797"/>
    </row>
    <row r="233" spans="1:9" ht="37.5" customHeight="1" x14ac:dyDescent="0.2">
      <c r="H233" s="1796" t="s">
        <v>1711</v>
      </c>
      <c r="I233" s="1797"/>
    </row>
    <row r="234" spans="1:9" ht="41.25" customHeight="1" x14ac:dyDescent="0.2">
      <c r="H234" s="1792" t="s">
        <v>722</v>
      </c>
      <c r="I234" s="1793"/>
    </row>
    <row r="235" spans="1:9" ht="27" customHeight="1" x14ac:dyDescent="0.2">
      <c r="H235" s="1796" t="s">
        <v>1504</v>
      </c>
      <c r="I235" s="1797"/>
    </row>
    <row r="236" spans="1:9" ht="27" customHeight="1" x14ac:dyDescent="0.2">
      <c r="H236" s="1792" t="s">
        <v>1366</v>
      </c>
      <c r="I236" s="1793"/>
    </row>
    <row r="237" spans="1:9" ht="27" customHeight="1" x14ac:dyDescent="0.2">
      <c r="H237" s="1792" t="s">
        <v>690</v>
      </c>
      <c r="I237" s="1793"/>
    </row>
    <row r="238" spans="1:9" ht="42" customHeight="1" x14ac:dyDescent="0.2">
      <c r="H238" s="1792" t="s">
        <v>689</v>
      </c>
      <c r="I238" s="1793"/>
    </row>
    <row r="239" spans="1:9" ht="27" customHeight="1" x14ac:dyDescent="0.2">
      <c r="H239" s="1792" t="s">
        <v>723</v>
      </c>
      <c r="I239" s="1793"/>
    </row>
    <row r="240" spans="1:9" ht="27" customHeight="1" x14ac:dyDescent="0.2">
      <c r="H240" s="1792" t="s">
        <v>724</v>
      </c>
      <c r="I240" s="1793"/>
    </row>
    <row r="241" spans="1:9" ht="42" customHeight="1" x14ac:dyDescent="0.2">
      <c r="H241" s="1792" t="s">
        <v>1712</v>
      </c>
      <c r="I241" s="1793"/>
    </row>
    <row r="242" spans="1:9" ht="53.25" customHeight="1" x14ac:dyDescent="0.2">
      <c r="H242" s="1792" t="s">
        <v>1505</v>
      </c>
      <c r="I242" s="1793"/>
    </row>
    <row r="243" spans="1:9" ht="42" customHeight="1" x14ac:dyDescent="0.2">
      <c r="H243" s="1792" t="s">
        <v>725</v>
      </c>
      <c r="I243" s="1793"/>
    </row>
    <row r="244" spans="1:9" ht="42" customHeight="1" x14ac:dyDescent="0.2">
      <c r="H244" s="1792" t="s">
        <v>2587</v>
      </c>
      <c r="I244" s="1793"/>
    </row>
    <row r="245" spans="1:9" ht="42" customHeight="1" x14ac:dyDescent="0.2">
      <c r="H245" s="1792" t="s">
        <v>726</v>
      </c>
      <c r="I245" s="1793"/>
    </row>
    <row r="246" spans="1:9" ht="27" customHeight="1" x14ac:dyDescent="0.2">
      <c r="H246" s="1792" t="s">
        <v>727</v>
      </c>
      <c r="I246" s="1793"/>
    </row>
    <row r="247" spans="1:9" ht="27" customHeight="1" x14ac:dyDescent="0.2">
      <c r="H247" s="1792" t="s">
        <v>1356</v>
      </c>
      <c r="I247" s="1793"/>
    </row>
    <row r="248" spans="1:9" ht="39" customHeight="1" x14ac:dyDescent="0.2">
      <c r="H248" s="1792" t="s">
        <v>728</v>
      </c>
      <c r="I248" s="1793"/>
    </row>
    <row r="249" spans="1:9" s="13" customFormat="1" ht="42" customHeight="1" x14ac:dyDescent="0.2">
      <c r="A249" s="10"/>
      <c r="B249" s="2"/>
      <c r="C249" s="2"/>
      <c r="D249" s="395"/>
      <c r="E249" s="395"/>
      <c r="F249" s="395"/>
      <c r="G249" s="396"/>
      <c r="H249" s="1792" t="s">
        <v>729</v>
      </c>
      <c r="I249" s="1793"/>
    </row>
    <row r="250" spans="1:9" ht="34.5" customHeight="1" x14ac:dyDescent="0.2">
      <c r="H250" s="1792" t="s">
        <v>712</v>
      </c>
      <c r="I250" s="1793"/>
    </row>
    <row r="251" spans="1:9" ht="27" customHeight="1" x14ac:dyDescent="0.2">
      <c r="H251" s="1792" t="s">
        <v>730</v>
      </c>
      <c r="I251" s="1793"/>
    </row>
    <row r="252" spans="1:9" ht="40.5" customHeight="1" x14ac:dyDescent="0.2">
      <c r="H252" s="1792" t="s">
        <v>1414</v>
      </c>
      <c r="I252" s="1793"/>
    </row>
    <row r="253" spans="1:9" ht="27" customHeight="1" x14ac:dyDescent="0.2">
      <c r="H253" s="1792" t="s">
        <v>732</v>
      </c>
      <c r="I253" s="1793"/>
    </row>
    <row r="254" spans="1:9" ht="42" customHeight="1" x14ac:dyDescent="0.2">
      <c r="H254" s="1792" t="s">
        <v>1713</v>
      </c>
      <c r="I254" s="1793"/>
    </row>
    <row r="255" spans="1:9" ht="42" customHeight="1" x14ac:dyDescent="0.2">
      <c r="H255" s="1792" t="s">
        <v>733</v>
      </c>
      <c r="I255" s="1793"/>
    </row>
    <row r="256" spans="1:9" ht="42" customHeight="1" x14ac:dyDescent="0.2">
      <c r="H256" s="1792" t="s">
        <v>1714</v>
      </c>
      <c r="I256" s="1793"/>
    </row>
    <row r="257" spans="8:9" ht="27" customHeight="1" x14ac:dyDescent="0.2">
      <c r="H257" s="1792" t="s">
        <v>734</v>
      </c>
      <c r="I257" s="1793"/>
    </row>
    <row r="258" spans="8:9" ht="42" customHeight="1" x14ac:dyDescent="0.2">
      <c r="H258" s="1792" t="s">
        <v>697</v>
      </c>
      <c r="I258" s="1793"/>
    </row>
    <row r="259" spans="8:9" ht="42" customHeight="1" x14ac:dyDescent="0.2">
      <c r="H259" s="1792" t="s">
        <v>1715</v>
      </c>
      <c r="I259" s="1793"/>
    </row>
    <row r="260" spans="8:9" ht="27" customHeight="1" x14ac:dyDescent="0.2">
      <c r="H260" s="1792" t="s">
        <v>698</v>
      </c>
      <c r="I260" s="1793"/>
    </row>
    <row r="261" spans="8:9" ht="27" customHeight="1" x14ac:dyDescent="0.2">
      <c r="H261" s="1792" t="s">
        <v>700</v>
      </c>
      <c r="I261" s="1793"/>
    </row>
    <row r="262" spans="8:9" ht="27" customHeight="1" x14ac:dyDescent="0.2">
      <c r="H262" s="1792" t="s">
        <v>735</v>
      </c>
      <c r="I262" s="1793"/>
    </row>
    <row r="263" spans="8:9" ht="27" customHeight="1" x14ac:dyDescent="0.2">
      <c r="H263" s="1792" t="s">
        <v>715</v>
      </c>
      <c r="I263" s="1793"/>
    </row>
    <row r="264" spans="8:9" ht="27" customHeight="1" x14ac:dyDescent="0.2">
      <c r="H264" s="1792" t="s">
        <v>736</v>
      </c>
      <c r="I264" s="1793"/>
    </row>
    <row r="265" spans="8:9" ht="27" customHeight="1" x14ac:dyDescent="0.2">
      <c r="H265" s="1792" t="s">
        <v>737</v>
      </c>
      <c r="I265" s="1793"/>
    </row>
    <row r="266" spans="8:9" ht="27" customHeight="1" x14ac:dyDescent="0.2">
      <c r="H266" s="1792" t="s">
        <v>1716</v>
      </c>
      <c r="I266" s="1793"/>
    </row>
    <row r="267" spans="8:9" ht="42" customHeight="1" x14ac:dyDescent="0.2">
      <c r="H267" s="1792" t="s">
        <v>738</v>
      </c>
      <c r="I267" s="1793"/>
    </row>
    <row r="268" spans="8:9" ht="40.5" customHeight="1" x14ac:dyDescent="0.2">
      <c r="H268" s="1792" t="s">
        <v>1717</v>
      </c>
      <c r="I268" s="1793"/>
    </row>
    <row r="269" spans="8:9" ht="40.5" customHeight="1" x14ac:dyDescent="0.2">
      <c r="H269" s="1792" t="s">
        <v>739</v>
      </c>
      <c r="I269" s="1793"/>
    </row>
    <row r="270" spans="8:9" ht="27" customHeight="1" x14ac:dyDescent="0.2">
      <c r="H270" s="1792" t="s">
        <v>702</v>
      </c>
      <c r="I270" s="1793"/>
    </row>
    <row r="271" spans="8:9" ht="42" customHeight="1" x14ac:dyDescent="0.2">
      <c r="H271" s="1792" t="s">
        <v>740</v>
      </c>
      <c r="I271" s="1793"/>
    </row>
    <row r="272" spans="8:9" ht="38.25" customHeight="1" x14ac:dyDescent="0.2">
      <c r="H272" s="1792" t="s">
        <v>1129</v>
      </c>
      <c r="I272" s="1793"/>
    </row>
    <row r="273" spans="8:9" ht="42" customHeight="1" x14ac:dyDescent="0.2">
      <c r="H273" s="1792" t="s">
        <v>788</v>
      </c>
      <c r="I273" s="1793"/>
    </row>
    <row r="274" spans="8:9" ht="42" customHeight="1" x14ac:dyDescent="0.2">
      <c r="H274" s="1792" t="s">
        <v>741</v>
      </c>
      <c r="I274" s="1793"/>
    </row>
    <row r="275" spans="8:9" ht="51.75" customHeight="1" thickBot="1" x14ac:dyDescent="0.25">
      <c r="H275" s="1794" t="s">
        <v>742</v>
      </c>
      <c r="I275" s="1795"/>
    </row>
  </sheetData>
  <sheetProtection algorithmName="SHA-512" hashValue="0V0AUt6vKtgnyBidwk98O64fmu04zMgrmnadxdQ81kA5ds8gKqCOUtdP7DTayKkv5dO9HZsfw6pL8aEqe6Uw2A==" saltValue="yO6TBlWMgWjZ+T6WQ0uH5A==" spinCount="100000" sheet="1" formatCells="0" formatColumns="0" formatRows="0"/>
  <customSheetViews>
    <customSheetView guid="{B8E02330-2419-4DE6-AD01-7ACC7A5D18DD}" scale="75" topLeftCell="A162">
      <selection activeCell="A2" sqref="A2:H172"/>
      <pageMargins left="0.75" right="0.75" top="1" bottom="1" header="0.5" footer="0.5"/>
      <pageSetup orientation="portrait" horizontalDpi="300" verticalDpi="300" r:id="rId1"/>
      <headerFooter alignWithMargins="0"/>
    </customSheetView>
  </customSheetViews>
  <mergeCells count="218">
    <mergeCell ref="A42:A46"/>
    <mergeCell ref="A116:A119"/>
    <mergeCell ref="A92:A98"/>
    <mergeCell ref="B116:B119"/>
    <mergeCell ref="H68:H73"/>
    <mergeCell ref="B74:B79"/>
    <mergeCell ref="A1:B1"/>
    <mergeCell ref="A19:A25"/>
    <mergeCell ref="A3:A8"/>
    <mergeCell ref="B3:B8"/>
    <mergeCell ref="A15:A18"/>
    <mergeCell ref="H15:H18"/>
    <mergeCell ref="H10:H14"/>
    <mergeCell ref="A10:A14"/>
    <mergeCell ref="B10:B14"/>
    <mergeCell ref="B15:B18"/>
    <mergeCell ref="E1:I1"/>
    <mergeCell ref="I3:I8"/>
    <mergeCell ref="B19:B25"/>
    <mergeCell ref="H19:H25"/>
    <mergeCell ref="A74:A79"/>
    <mergeCell ref="H51:H54"/>
    <mergeCell ref="H55:H60"/>
    <mergeCell ref="A68:A73"/>
    <mergeCell ref="A51:A54"/>
    <mergeCell ref="H130:H133"/>
    <mergeCell ref="B106:B109"/>
    <mergeCell ref="A47:A50"/>
    <mergeCell ref="B177:B180"/>
    <mergeCell ref="A177:A180"/>
    <mergeCell ref="A172:A176"/>
    <mergeCell ref="H92:H98"/>
    <mergeCell ref="B51:B54"/>
    <mergeCell ref="H106:H109"/>
    <mergeCell ref="A110:A115"/>
    <mergeCell ref="B86:B91"/>
    <mergeCell ref="H162:H166"/>
    <mergeCell ref="H148:H153"/>
    <mergeCell ref="B130:B133"/>
    <mergeCell ref="B139:B145"/>
    <mergeCell ref="H177:H180"/>
    <mergeCell ref="B172:B176"/>
    <mergeCell ref="A148:A153"/>
    <mergeCell ref="A134:A138"/>
    <mergeCell ref="B148:B153"/>
    <mergeCell ref="A86:A91"/>
    <mergeCell ref="B61:B67"/>
    <mergeCell ref="B134:B138"/>
    <mergeCell ref="B27:B33"/>
    <mergeCell ref="B126:B129"/>
    <mergeCell ref="B92:B98"/>
    <mergeCell ref="H42:H46"/>
    <mergeCell ref="H35:H41"/>
    <mergeCell ref="B47:B50"/>
    <mergeCell ref="B42:B46"/>
    <mergeCell ref="H74:H79"/>
    <mergeCell ref="B35:B41"/>
    <mergeCell ref="H120:H125"/>
    <mergeCell ref="H126:H129"/>
    <mergeCell ref="H110:H115"/>
    <mergeCell ref="H47:H50"/>
    <mergeCell ref="H86:H91"/>
    <mergeCell ref="B110:B115"/>
    <mergeCell ref="B68:B73"/>
    <mergeCell ref="A223:B224"/>
    <mergeCell ref="A61:A67"/>
    <mergeCell ref="A55:A60"/>
    <mergeCell ref="B55:B60"/>
    <mergeCell ref="A99:A105"/>
    <mergeCell ref="B99:B105"/>
    <mergeCell ref="C223:E223"/>
    <mergeCell ref="C224:E224"/>
    <mergeCell ref="D217:F217"/>
    <mergeCell ref="D218:F218"/>
    <mergeCell ref="D219:F219"/>
    <mergeCell ref="D220:F220"/>
    <mergeCell ref="D221:F221"/>
    <mergeCell ref="A80:A85"/>
    <mergeCell ref="A106:A109"/>
    <mergeCell ref="A130:A133"/>
    <mergeCell ref="A120:A125"/>
    <mergeCell ref="A217:C221"/>
    <mergeCell ref="A222:H222"/>
    <mergeCell ref="B167:B171"/>
    <mergeCell ref="H211:H214"/>
    <mergeCell ref="H172:H176"/>
    <mergeCell ref="H181:H184"/>
    <mergeCell ref="H185:H190"/>
    <mergeCell ref="I181:I184"/>
    <mergeCell ref="I185:I190"/>
    <mergeCell ref="I192:I196"/>
    <mergeCell ref="I197:I202"/>
    <mergeCell ref="I203:I205"/>
    <mergeCell ref="I206:I210"/>
    <mergeCell ref="I211:I214"/>
    <mergeCell ref="A35:A41"/>
    <mergeCell ref="A181:A184"/>
    <mergeCell ref="A197:A202"/>
    <mergeCell ref="A185:A190"/>
    <mergeCell ref="H139:H145"/>
    <mergeCell ref="A139:A145"/>
    <mergeCell ref="H154:H160"/>
    <mergeCell ref="B154:B160"/>
    <mergeCell ref="H192:H196"/>
    <mergeCell ref="B162:B166"/>
    <mergeCell ref="H167:H171"/>
    <mergeCell ref="B120:B125"/>
    <mergeCell ref="A126:A129"/>
    <mergeCell ref="B192:B196"/>
    <mergeCell ref="A192:A196"/>
    <mergeCell ref="B80:B85"/>
    <mergeCell ref="H116:H119"/>
    <mergeCell ref="A206:A210"/>
    <mergeCell ref="B211:B214"/>
    <mergeCell ref="B185:B190"/>
    <mergeCell ref="B181:B184"/>
    <mergeCell ref="H197:H202"/>
    <mergeCell ref="H203:H205"/>
    <mergeCell ref="H206:H210"/>
    <mergeCell ref="B197:B202"/>
    <mergeCell ref="A211:A214"/>
    <mergeCell ref="B206:B210"/>
    <mergeCell ref="B203:B205"/>
    <mergeCell ref="A203:A205"/>
    <mergeCell ref="I134:I138"/>
    <mergeCell ref="I19:I25"/>
    <mergeCell ref="I27:I33"/>
    <mergeCell ref="H27:H33"/>
    <mergeCell ref="H3:H8"/>
    <mergeCell ref="I35:I41"/>
    <mergeCell ref="I42:I46"/>
    <mergeCell ref="I47:I50"/>
    <mergeCell ref="I51:I54"/>
    <mergeCell ref="I55:I60"/>
    <mergeCell ref="I61:I67"/>
    <mergeCell ref="I86:I91"/>
    <mergeCell ref="I68:I73"/>
    <mergeCell ref="I74:I79"/>
    <mergeCell ref="I10:I14"/>
    <mergeCell ref="I15:I18"/>
    <mergeCell ref="H61:H67"/>
    <mergeCell ref="H134:H138"/>
    <mergeCell ref="H99:H105"/>
    <mergeCell ref="H80:H85"/>
    <mergeCell ref="H223:I223"/>
    <mergeCell ref="H224:I224"/>
    <mergeCell ref="H226:I226"/>
    <mergeCell ref="H227:I227"/>
    <mergeCell ref="H228:I228"/>
    <mergeCell ref="H229:I229"/>
    <mergeCell ref="H230:I230"/>
    <mergeCell ref="I139:I145"/>
    <mergeCell ref="A27:A33"/>
    <mergeCell ref="I148:I153"/>
    <mergeCell ref="I154:I160"/>
    <mergeCell ref="I162:I166"/>
    <mergeCell ref="I167:I171"/>
    <mergeCell ref="I172:I176"/>
    <mergeCell ref="I177:I180"/>
    <mergeCell ref="I80:I85"/>
    <mergeCell ref="I92:I98"/>
    <mergeCell ref="I99:I105"/>
    <mergeCell ref="I106:I109"/>
    <mergeCell ref="I110:I115"/>
    <mergeCell ref="I116:I119"/>
    <mergeCell ref="I120:I125"/>
    <mergeCell ref="I126:I129"/>
    <mergeCell ref="I130:I133"/>
    <mergeCell ref="H231:I231"/>
    <mergeCell ref="H232:I232"/>
    <mergeCell ref="H248:I248"/>
    <mergeCell ref="H249:I249"/>
    <mergeCell ref="H250:I250"/>
    <mergeCell ref="H233:I233"/>
    <mergeCell ref="H234:I234"/>
    <mergeCell ref="H235:I235"/>
    <mergeCell ref="H236:I236"/>
    <mergeCell ref="H237:I237"/>
    <mergeCell ref="H238:I238"/>
    <mergeCell ref="H239:I239"/>
    <mergeCell ref="H240:I240"/>
    <mergeCell ref="H241:I241"/>
    <mergeCell ref="H275:I275"/>
    <mergeCell ref="A154:A160"/>
    <mergeCell ref="A162:A166"/>
    <mergeCell ref="A167:A171"/>
    <mergeCell ref="A216:I216"/>
    <mergeCell ref="A225:I225"/>
    <mergeCell ref="H266:I266"/>
    <mergeCell ref="H267:I267"/>
    <mergeCell ref="H268:I268"/>
    <mergeCell ref="H269:I269"/>
    <mergeCell ref="H270:I270"/>
    <mergeCell ref="H271:I271"/>
    <mergeCell ref="H272:I272"/>
    <mergeCell ref="H273:I273"/>
    <mergeCell ref="H274:I274"/>
    <mergeCell ref="H257:I257"/>
    <mergeCell ref="H258:I258"/>
    <mergeCell ref="H259:I259"/>
    <mergeCell ref="H242:I242"/>
    <mergeCell ref="H243:I243"/>
    <mergeCell ref="H244:I244"/>
    <mergeCell ref="H245:I245"/>
    <mergeCell ref="H246:I246"/>
    <mergeCell ref="H247:I247"/>
    <mergeCell ref="H260:I260"/>
    <mergeCell ref="H261:I261"/>
    <mergeCell ref="H262:I262"/>
    <mergeCell ref="H263:I263"/>
    <mergeCell ref="H264:I264"/>
    <mergeCell ref="H265:I265"/>
    <mergeCell ref="H251:I251"/>
    <mergeCell ref="H252:I252"/>
    <mergeCell ref="H253:I253"/>
    <mergeCell ref="H254:I254"/>
    <mergeCell ref="H255:I255"/>
    <mergeCell ref="H256:I256"/>
  </mergeCells>
  <phoneticPr fontId="3" type="noConversion"/>
  <pageMargins left="0.75" right="0.75" top="1" bottom="1" header="0.5" footer="0.5"/>
  <pageSetup orientation="portrait" horizontalDpi="300" verticalDpi="300"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J188"/>
  <sheetViews>
    <sheetView zoomScaleNormal="100" workbookViewId="0">
      <selection activeCell="L8" sqref="L8"/>
    </sheetView>
  </sheetViews>
  <sheetFormatPr defaultColWidth="9.33203125" defaultRowHeight="16.5" x14ac:dyDescent="0.2"/>
  <cols>
    <col min="1" max="1" width="5.83203125" style="10" customWidth="1"/>
    <col min="2" max="2" width="18.83203125" style="2" customWidth="1"/>
    <col min="3" max="3" width="75.83203125" style="2" customWidth="1"/>
    <col min="4" max="6" width="7.83203125" style="63" customWidth="1"/>
    <col min="7" max="7" width="10.1640625" style="62" customWidth="1"/>
    <col min="8" max="8" width="64.83203125" style="10" customWidth="1"/>
    <col min="9" max="9" width="11.83203125" style="2" customWidth="1"/>
    <col min="10" max="10" width="9.33203125" style="56"/>
    <col min="11" max="16384" width="9.33203125" style="2"/>
  </cols>
  <sheetData>
    <row r="1" spans="1:9" s="1412" customFormat="1" ht="99.75" customHeight="1" thickBot="1" x14ac:dyDescent="0.25">
      <c r="A1" s="1860" t="s">
        <v>1065</v>
      </c>
      <c r="B1" s="1953"/>
      <c r="C1" s="1407" t="s">
        <v>1447</v>
      </c>
      <c r="D1" s="1408" t="s">
        <v>1066</v>
      </c>
      <c r="E1" s="1929"/>
      <c r="F1" s="1930"/>
      <c r="G1" s="1930"/>
      <c r="H1" s="1930"/>
      <c r="I1" s="1930"/>
    </row>
    <row r="2" spans="1:9" s="56" customFormat="1" ht="36" customHeight="1" thickBot="1" x14ac:dyDescent="0.25">
      <c r="A2" s="833" t="s">
        <v>88</v>
      </c>
      <c r="B2" s="833" t="s">
        <v>1423</v>
      </c>
      <c r="C2" s="862" t="s">
        <v>1164</v>
      </c>
      <c r="D2" s="833" t="s">
        <v>45</v>
      </c>
      <c r="E2" s="904" t="s">
        <v>1188</v>
      </c>
      <c r="F2" s="905" t="s">
        <v>2583</v>
      </c>
      <c r="G2" s="906" t="s">
        <v>2558</v>
      </c>
      <c r="H2" s="833" t="s">
        <v>1117</v>
      </c>
      <c r="I2" s="895" t="s">
        <v>2427</v>
      </c>
    </row>
    <row r="3" spans="1:9" ht="90" customHeight="1" thickBot="1" x14ac:dyDescent="0.25">
      <c r="A3" s="1124" t="str">
        <f>OF!A133</f>
        <v>OF27</v>
      </c>
      <c r="B3" s="1125" t="str">
        <f>OF!B133</f>
        <v>Growing Degree Days</v>
      </c>
      <c r="C3" s="1124" t="str">
        <f>OF!C133</f>
        <v>In Google Earth, open the KMZ file that accompanies this calculator, called NB-PEI_GrowingDegreeDays. Place your cursor over the AA and left-click. From the pop-up, enter the GRIDCODE in the next column.</v>
      </c>
      <c r="D3" s="1413">
        <f>OF!D133</f>
        <v>0</v>
      </c>
      <c r="E3" s="1129"/>
      <c r="F3" s="194"/>
      <c r="G3" s="328" t="str">
        <f>IF((GrowD&lt;1),"",1-((GrowD-1305)/1328))</f>
        <v/>
      </c>
      <c r="H3" s="434" t="s">
        <v>1448</v>
      </c>
      <c r="I3" s="120" t="s">
        <v>1018</v>
      </c>
    </row>
    <row r="4" spans="1:9" ht="21" customHeight="1" thickBot="1" x14ac:dyDescent="0.25">
      <c r="A4" s="1669" t="str">
        <f>F!A4</f>
        <v>F1</v>
      </c>
      <c r="B4" s="1669" t="str">
        <f>F!B4</f>
        <v>Wetland Type</v>
      </c>
      <c r="C4" s="3" t="str">
        <f>F!C4</f>
        <v>Follow the key below and mark the ONE row that best describes MOST of the vegetated part of the AA:</v>
      </c>
      <c r="D4" s="348"/>
      <c r="E4" s="191"/>
      <c r="F4" s="192"/>
      <c r="G4" s="400">
        <f>MAX(F6:F10)/MAX(E6:E10)</f>
        <v>0</v>
      </c>
      <c r="H4" s="1856" t="s">
        <v>2280</v>
      </c>
      <c r="I4" s="1669" t="s">
        <v>505</v>
      </c>
    </row>
    <row r="5" spans="1:9" ht="57" customHeight="1" thickBot="1" x14ac:dyDescent="0.25">
      <c r="A5" s="1670"/>
      <c r="B5" s="1670"/>
      <c r="C5" s="3" t="str">
        <f>F!C5</f>
        <v>A. Moss and/or lichen cover more than 25%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v>
      </c>
      <c r="D5" s="635"/>
      <c r="E5" s="206"/>
      <c r="F5" s="200"/>
      <c r="G5" s="606"/>
      <c r="H5" s="1925"/>
      <c r="I5" s="1670"/>
    </row>
    <row r="6" spans="1:9" ht="78" customHeight="1" x14ac:dyDescent="0.2">
      <c r="A6" s="1670"/>
      <c r="B6" s="1670"/>
      <c r="C6" s="1018" t="str">
        <f>F!C6</f>
        <v>A1.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(Carex rariflora). Wetland surface and surrounding landscape are seldom sloping and wetland often is domed (convex). Inlet and outlet channels are usually absent.  If known, pH of peat is &lt;4.0.</v>
      </c>
      <c r="D6" s="33">
        <f>F!D6</f>
        <v>0</v>
      </c>
      <c r="E6" s="187">
        <v>4</v>
      </c>
      <c r="F6" s="187">
        <f>D6*E6</f>
        <v>0</v>
      </c>
      <c r="G6" s="462"/>
      <c r="H6" s="1925"/>
      <c r="I6" s="1670"/>
    </row>
    <row r="7" spans="1:9" ht="57" customHeight="1" thickBot="1" x14ac:dyDescent="0.25">
      <c r="A7" s="1670"/>
      <c r="B7" s="1670"/>
      <c r="C7" s="1110" t="str">
        <f>F!C7</f>
        <v>A2.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v>
      </c>
      <c r="D7" s="33">
        <f>F!D7</f>
        <v>0</v>
      </c>
      <c r="E7" s="187">
        <v>3</v>
      </c>
      <c r="F7" s="187">
        <f>D7*E7</f>
        <v>0</v>
      </c>
      <c r="G7" s="606"/>
      <c r="H7" s="1925"/>
      <c r="I7" s="1670"/>
    </row>
    <row r="8" spans="1:9" ht="40.5" customHeight="1" thickBot="1" x14ac:dyDescent="0.25">
      <c r="A8" s="1670"/>
      <c r="B8" s="1670"/>
      <c r="C8" s="3" t="str">
        <f>F!C8</f>
        <v>B. Moss and/or lichen cover less than 25% of the ground. Soil is mineral or decomposed organic (muck). Choose between B1 and B2 and mark the choice with a 1 in their adjoining column:</v>
      </c>
      <c r="D8" s="203"/>
      <c r="E8" s="187"/>
      <c r="F8" s="187"/>
      <c r="G8" s="462"/>
      <c r="H8" s="1925"/>
      <c r="I8" s="1670"/>
    </row>
    <row r="9" spans="1:9" ht="36.75" customHeight="1" x14ac:dyDescent="0.2">
      <c r="A9" s="1670"/>
      <c r="B9" s="1670"/>
      <c r="C9" s="1018" t="str">
        <f>F!C9</f>
        <v>B1. Trees and shrubs taller than 1 m comprise more than 25% of the vegetated cover. Surface water is mostly absent or inundates the vegetation only seasonally (e.g., vernal pools or floodplain).</v>
      </c>
      <c r="D9" s="33">
        <f>F!D9</f>
        <v>0</v>
      </c>
      <c r="E9" s="187">
        <v>2</v>
      </c>
      <c r="F9" s="187">
        <f>D9*E9</f>
        <v>0</v>
      </c>
      <c r="G9" s="461"/>
      <c r="H9" s="1925"/>
      <c r="I9" s="1670"/>
    </row>
    <row r="10" spans="1:9" ht="42" customHeight="1" thickBot="1" x14ac:dyDescent="0.25">
      <c r="A10" s="1670"/>
      <c r="B10" s="1671"/>
      <c r="C10" s="1057" t="str">
        <f>F!C10</f>
        <v>B2. Not B1.  Tree &amp; tall shrubs comprise less than than 25% of the vegetated cover.  Vegetation is mostly herbaceous, e.g., cattail, bulrush, burreed, pond lily, horsetail. Surface water may be extensive and fluctuates seasonally, being either persistent or drying up partly or entirely.</v>
      </c>
      <c r="D10" s="84">
        <f>F!D10</f>
        <v>0</v>
      </c>
      <c r="E10" s="188">
        <v>1</v>
      </c>
      <c r="F10" s="188">
        <f>D10*E10</f>
        <v>0</v>
      </c>
      <c r="G10" s="1076"/>
      <c r="H10" s="1925"/>
      <c r="I10" s="1670"/>
    </row>
    <row r="11" spans="1:9" ht="60" customHeight="1" thickBot="1" x14ac:dyDescent="0.25">
      <c r="A11" s="36" t="str">
        <f>F!A17</f>
        <v>F3</v>
      </c>
      <c r="B11" s="36" t="str">
        <f>F!B17</f>
        <v>Woody Height &amp; Form Diversity</v>
      </c>
      <c r="C11" s="1059" t="str">
        <f>F!C17</f>
        <v>Following EACH row below, indicate with a number code the percentage of the living vegetation in the AA which is occupied by that feature (6 if &gt;95%, 5 if 75-95%, 4 if 50-75%, 3 if 25-50%, 2 if 5-25%, 1 if &lt;5%, 0 if none). If the vegetated part of the AA is largely herbaceous (non-woody) vegetation, these percentages should not sum to 100%.</v>
      </c>
      <c r="D11" s="1074" t="str">
        <f>IF((SUM(F!D18:'F'!D21)=0),"",(6-MAX(F!D19, F!D21, F!D23))/6)</f>
        <v/>
      </c>
      <c r="E11" s="201"/>
      <c r="F11" s="201"/>
      <c r="G11" s="1075" t="str">
        <f>IF((D11=""),"",D11)</f>
        <v/>
      </c>
      <c r="H11" s="36" t="s">
        <v>2342</v>
      </c>
      <c r="I11" s="3" t="s">
        <v>1146</v>
      </c>
    </row>
    <row r="12" spans="1:9" ht="48" customHeight="1" thickBot="1" x14ac:dyDescent="0.25">
      <c r="A12" s="1714" t="str">
        <f>F!A28</f>
        <v>F5</v>
      </c>
      <c r="B12" s="1696" t="str">
        <f>F!B28</f>
        <v>Woody Diameter Classes</v>
      </c>
      <c r="C12" s="245" t="str">
        <f>F!C28</f>
        <v>Mark ALL the types that comprise &gt;5% of the woody canopy cover in the AA or &gt;5% of the wooded areas (if any) along its upland edge (perimeter).  The edge should include only the trees whose canopies extend into the AA.</v>
      </c>
      <c r="D12" s="193"/>
      <c r="E12" s="186"/>
      <c r="F12" s="189"/>
      <c r="G12" s="328" t="str">
        <f>IF((MAX(F!D18:D21)&lt;2),"", ((SUM(D13:D20)/8)+(SUM(F13:F20)/12))/2)</f>
        <v/>
      </c>
      <c r="H12" s="1696" t="s">
        <v>1829</v>
      </c>
      <c r="I12" s="1669" t="s">
        <v>502</v>
      </c>
    </row>
    <row r="13" spans="1:9" ht="15" customHeight="1" x14ac:dyDescent="0.2">
      <c r="A13" s="1714"/>
      <c r="B13" s="1696"/>
      <c r="C13" s="14" t="str">
        <f>F!C29</f>
        <v>coniferous, 1-9 cm diameter and &gt;1 m tall.</v>
      </c>
      <c r="D13" s="129">
        <f>F!D29</f>
        <v>0</v>
      </c>
      <c r="E13" s="187">
        <v>2</v>
      </c>
      <c r="F13" s="187">
        <f>D13*E13</f>
        <v>0</v>
      </c>
      <c r="G13" s="383"/>
      <c r="H13" s="1696"/>
      <c r="I13" s="1670"/>
    </row>
    <row r="14" spans="1:9" ht="15" customHeight="1" x14ac:dyDescent="0.2">
      <c r="A14" s="1714"/>
      <c r="B14" s="1696"/>
      <c r="C14" s="4" t="str">
        <f>F!C30</f>
        <v>broad-leaved deciduous 1-9 cm diameter and &gt;1 m tall.</v>
      </c>
      <c r="D14" s="33">
        <f>F!D30</f>
        <v>0</v>
      </c>
      <c r="E14" s="187">
        <v>1</v>
      </c>
      <c r="F14" s="187">
        <f t="shared" ref="F14:F20" si="0">D14*E14</f>
        <v>0</v>
      </c>
      <c r="G14" s="384"/>
      <c r="H14" s="1696"/>
      <c r="I14" s="1670"/>
    </row>
    <row r="15" spans="1:9" ht="15" customHeight="1" x14ac:dyDescent="0.2">
      <c r="A15" s="1714"/>
      <c r="B15" s="1696"/>
      <c r="C15" s="4" t="str">
        <f>F!C31</f>
        <v>coniferous, 10-19 cm diameter.</v>
      </c>
      <c r="D15" s="33">
        <f>F!D31</f>
        <v>0</v>
      </c>
      <c r="E15" s="187">
        <v>2</v>
      </c>
      <c r="F15" s="187">
        <f t="shared" si="0"/>
        <v>0</v>
      </c>
      <c r="G15" s="384"/>
      <c r="H15" s="1696"/>
      <c r="I15" s="1670"/>
    </row>
    <row r="16" spans="1:9" ht="15" customHeight="1" x14ac:dyDescent="0.2">
      <c r="A16" s="1714"/>
      <c r="B16" s="1696"/>
      <c r="C16" s="4" t="str">
        <f>F!C32</f>
        <v>broad-leaved deciduous 10-19 cm diameter.</v>
      </c>
      <c r="D16" s="33">
        <f>F!D32</f>
        <v>0</v>
      </c>
      <c r="E16" s="187">
        <v>1</v>
      </c>
      <c r="F16" s="187">
        <f t="shared" si="0"/>
        <v>0</v>
      </c>
      <c r="G16" s="384"/>
      <c r="H16" s="1696"/>
      <c r="I16" s="1670"/>
    </row>
    <row r="17" spans="1:9" ht="15" customHeight="1" x14ac:dyDescent="0.2">
      <c r="A17" s="1714"/>
      <c r="B17" s="1696"/>
      <c r="C17" s="4" t="str">
        <f>F!C33</f>
        <v>coniferous, 20-40 cm diameter.</v>
      </c>
      <c r="D17" s="33">
        <f>F!D33</f>
        <v>0</v>
      </c>
      <c r="E17" s="187">
        <v>2</v>
      </c>
      <c r="F17" s="187">
        <f t="shared" si="0"/>
        <v>0</v>
      </c>
      <c r="G17" s="384"/>
      <c r="H17" s="1696"/>
      <c r="I17" s="1670"/>
    </row>
    <row r="18" spans="1:9" ht="15" customHeight="1" x14ac:dyDescent="0.2">
      <c r="A18" s="1714"/>
      <c r="B18" s="1696"/>
      <c r="C18" s="4" t="str">
        <f>F!C34</f>
        <v>broad-leaved deciduous 20-40 cm diameter.</v>
      </c>
      <c r="D18" s="33">
        <f>F!D34</f>
        <v>0</v>
      </c>
      <c r="E18" s="187">
        <v>1</v>
      </c>
      <c r="F18" s="187">
        <f t="shared" si="0"/>
        <v>0</v>
      </c>
      <c r="G18" s="384"/>
      <c r="H18" s="1696"/>
      <c r="I18" s="1670"/>
    </row>
    <row r="19" spans="1:9" ht="15" customHeight="1" x14ac:dyDescent="0.2">
      <c r="A19" s="1714"/>
      <c r="B19" s="1696"/>
      <c r="C19" s="4" t="str">
        <f>F!C35</f>
        <v>coniferous, &gt;40 cm diameter.</v>
      </c>
      <c r="D19" s="33">
        <f>F!D35</f>
        <v>0</v>
      </c>
      <c r="E19" s="187">
        <v>2</v>
      </c>
      <c r="F19" s="187">
        <f t="shared" si="0"/>
        <v>0</v>
      </c>
      <c r="G19" s="384"/>
      <c r="H19" s="1696"/>
      <c r="I19" s="1670"/>
    </row>
    <row r="20" spans="1:9" ht="15" customHeight="1" thickBot="1" x14ac:dyDescent="0.25">
      <c r="A20" s="1715"/>
      <c r="B20" s="1712"/>
      <c r="C20" s="85" t="str">
        <f>F!C36</f>
        <v>broad-leaved deciduous &gt;40 cm diameter.</v>
      </c>
      <c r="D20" s="84">
        <f>F!D36</f>
        <v>0</v>
      </c>
      <c r="E20" s="188">
        <v>1</v>
      </c>
      <c r="F20" s="188">
        <f t="shared" si="0"/>
        <v>0</v>
      </c>
      <c r="G20" s="385"/>
      <c r="H20" s="1712"/>
      <c r="I20" s="1671"/>
    </row>
    <row r="21" spans="1:9" ht="30" customHeight="1" thickBot="1" x14ac:dyDescent="0.25">
      <c r="A21" s="1703" t="str">
        <f>F!A57</f>
        <v>F10</v>
      </c>
      <c r="B21" s="1670" t="str">
        <f>F!B57</f>
        <v>Sphagnum Moss Extent</v>
      </c>
      <c r="C21" s="245" t="str">
        <f>F!C57</f>
        <v>The cover of Sphagnum moss (or any moss that forms a dense cushion many centimeters thick), including the moss obscured by taller sedges and other plants rooted in it, is:</v>
      </c>
      <c r="D21" s="193"/>
      <c r="E21" s="205"/>
      <c r="F21" s="383"/>
      <c r="G21" s="328">
        <f>MAX(F22:F26)/MAX(E22:E26)</f>
        <v>0</v>
      </c>
      <c r="H21" s="1670" t="s">
        <v>1508</v>
      </c>
      <c r="I21" s="1669" t="s">
        <v>499</v>
      </c>
    </row>
    <row r="22" spans="1:9" ht="15" customHeight="1" x14ac:dyDescent="0.2">
      <c r="A22" s="1703"/>
      <c r="B22" s="1670"/>
      <c r="C22" s="14" t="str">
        <f>F!C58</f>
        <v xml:space="preserve">&lt;5% of the vegetated part of the AA. </v>
      </c>
      <c r="D22" s="145">
        <f>F!D58</f>
        <v>0</v>
      </c>
      <c r="E22" s="203">
        <v>1</v>
      </c>
      <c r="F22" s="187">
        <f>D22*E22</f>
        <v>0</v>
      </c>
      <c r="G22" s="383"/>
      <c r="H22" s="1670"/>
      <c r="I22" s="1670"/>
    </row>
    <row r="23" spans="1:9" ht="15" customHeight="1" x14ac:dyDescent="0.2">
      <c r="A23" s="1703"/>
      <c r="B23" s="1670"/>
      <c r="C23" s="4" t="str">
        <f>F!C59</f>
        <v>5-25% of the vegetated part of the AA.</v>
      </c>
      <c r="D23" s="146">
        <f>F!D59</f>
        <v>0</v>
      </c>
      <c r="E23" s="203">
        <v>2</v>
      </c>
      <c r="F23" s="187">
        <f>D23*E23</f>
        <v>0</v>
      </c>
      <c r="G23" s="384"/>
      <c r="H23" s="1670"/>
      <c r="I23" s="1670"/>
    </row>
    <row r="24" spans="1:9" ht="15" customHeight="1" x14ac:dyDescent="0.2">
      <c r="A24" s="1703"/>
      <c r="B24" s="1670"/>
      <c r="C24" s="4" t="str">
        <f>F!C60</f>
        <v>25-50% of the vegetated part of the AA.</v>
      </c>
      <c r="D24" s="146">
        <f>F!D60</f>
        <v>0</v>
      </c>
      <c r="E24" s="203">
        <v>3</v>
      </c>
      <c r="F24" s="187">
        <f>D24*E24</f>
        <v>0</v>
      </c>
      <c r="G24" s="384"/>
      <c r="H24" s="1670"/>
      <c r="I24" s="1670"/>
    </row>
    <row r="25" spans="1:9" ht="15" customHeight="1" x14ac:dyDescent="0.2">
      <c r="A25" s="1703"/>
      <c r="B25" s="1670"/>
      <c r="C25" s="4" t="str">
        <f>F!C61</f>
        <v>50-95% of the vegetated part of the AA.</v>
      </c>
      <c r="D25" s="146">
        <f>F!D61</f>
        <v>0</v>
      </c>
      <c r="E25" s="203">
        <v>4</v>
      </c>
      <c r="F25" s="187">
        <f>D25*E25</f>
        <v>0</v>
      </c>
      <c r="G25" s="384"/>
      <c r="H25" s="1670"/>
      <c r="I25" s="1670"/>
    </row>
    <row r="26" spans="1:9" ht="15" customHeight="1" thickBot="1" x14ac:dyDescent="0.25">
      <c r="A26" s="1722"/>
      <c r="B26" s="1671"/>
      <c r="C26" s="85" t="str">
        <f>F!C62</f>
        <v>&gt;95% of the vegetated part of the AA.</v>
      </c>
      <c r="D26" s="147">
        <f>F!D62</f>
        <v>0</v>
      </c>
      <c r="E26" s="204">
        <v>5</v>
      </c>
      <c r="F26" s="188">
        <f>D26*E26</f>
        <v>0</v>
      </c>
      <c r="G26" s="385"/>
      <c r="H26" s="1671"/>
      <c r="I26" s="1671"/>
    </row>
    <row r="27" spans="1:9" ht="45" customHeight="1" thickBot="1" x14ac:dyDescent="0.25">
      <c r="A27" s="1721" t="str">
        <f>F!A77</f>
        <v>F14</v>
      </c>
      <c r="B27" s="1669" t="str">
        <f>F!B77</f>
        <v>Soil Texture</v>
      </c>
      <c r="C27" s="240" t="str">
        <f>F!C77</f>
        <v xml:space="preserve">In parts of the AA that lack persistent water, the texture of soil in the uppermost layer is mostly:  [To determine this, use a trowel to check in at least 3 widely spaced locations, and use the soil texture key (in Appendix A of the Manual).] </v>
      </c>
      <c r="D27" s="193"/>
      <c r="E27" s="191"/>
      <c r="F27" s="192"/>
      <c r="G27" s="327">
        <f>MAX(F28:F32)/MAX(E28:E32)</f>
        <v>0</v>
      </c>
      <c r="H27" s="1669" t="s">
        <v>1506</v>
      </c>
      <c r="I27" s="1669" t="s">
        <v>503</v>
      </c>
    </row>
    <row r="28" spans="1:9" ht="27" customHeight="1" x14ac:dyDescent="0.2">
      <c r="A28" s="1703"/>
      <c r="B28" s="1670"/>
      <c r="C28" s="14" t="str">
        <f>F!C78</f>
        <v>Loamy: soils that may contain a little fine grit and do not make a "ribbon" longer than 2 cm when moistened, rolled, squeezed, and extended between thumb and forefinger.</v>
      </c>
      <c r="D28" s="129">
        <f>F!D78</f>
        <v>0</v>
      </c>
      <c r="E28" s="187">
        <v>2</v>
      </c>
      <c r="F28" s="187">
        <f>D28*E28</f>
        <v>0</v>
      </c>
      <c r="G28" s="383"/>
      <c r="H28" s="1670"/>
      <c r="I28" s="1670"/>
    </row>
    <row r="29" spans="1:9" ht="27" customHeight="1" x14ac:dyDescent="0.2">
      <c r="A29" s="1703"/>
      <c r="B29" s="1670"/>
      <c r="C29" s="4" t="str">
        <f>F!C79</f>
        <v>Fines: includes silt, clay, silt, soils that make a ribbon longer than 2 cm when moistened, rolled, squeezed, and extended between thumb and forefinger.</v>
      </c>
      <c r="D29" s="33">
        <f>F!D79</f>
        <v>0</v>
      </c>
      <c r="E29" s="187">
        <v>1</v>
      </c>
      <c r="F29" s="187">
        <f>D29*E29</f>
        <v>0</v>
      </c>
      <c r="G29" s="384"/>
      <c r="H29" s="1670"/>
      <c r="I29" s="1670"/>
    </row>
    <row r="30" spans="1:9" ht="15" customHeight="1" x14ac:dyDescent="0.2">
      <c r="A30" s="1703"/>
      <c r="B30" s="1670"/>
      <c r="C30" s="4" t="str">
        <f>F!C80</f>
        <v>Deep Peat, to 40 cm depth or greater.</v>
      </c>
      <c r="D30" s="33">
        <f>F!D80</f>
        <v>0</v>
      </c>
      <c r="E30" s="187">
        <v>4</v>
      </c>
      <c r="F30" s="187">
        <f>D30*E30</f>
        <v>0</v>
      </c>
      <c r="G30" s="384"/>
      <c r="H30" s="1670"/>
      <c r="I30" s="1670"/>
    </row>
    <row r="31" spans="1:9" ht="15" customHeight="1" x14ac:dyDescent="0.2">
      <c r="A31" s="1703"/>
      <c r="B31" s="1670"/>
      <c r="C31" s="4" t="str">
        <f>F!C81</f>
        <v xml:space="preserve">Shallow Peat or organic &lt;40 cm deep. </v>
      </c>
      <c r="D31" s="33">
        <f>F!D81</f>
        <v>0</v>
      </c>
      <c r="E31" s="187">
        <v>5</v>
      </c>
      <c r="F31" s="187">
        <f>D31*E31</f>
        <v>0</v>
      </c>
      <c r="G31" s="391"/>
      <c r="H31" s="1670"/>
      <c r="I31" s="1670"/>
    </row>
    <row r="32" spans="1:9" ht="27" customHeight="1" thickBot="1" x14ac:dyDescent="0.25">
      <c r="A32" s="1722"/>
      <c r="B32" s="1671"/>
      <c r="C32" s="85" t="str">
        <f>F!C82</f>
        <v>Coarse: includes sand, loamy sand, gravel, cobble, soils that do not make a ribbon when moistened, rolled, squeezed, and extended between thumb and forefinger.</v>
      </c>
      <c r="D32" s="84">
        <f>F!D82</f>
        <v>0</v>
      </c>
      <c r="E32" s="188">
        <v>0</v>
      </c>
      <c r="F32" s="188">
        <f>D32*E32</f>
        <v>0</v>
      </c>
      <c r="G32" s="385"/>
      <c r="H32" s="1671"/>
      <c r="I32" s="1671"/>
    </row>
    <row r="33" spans="1:9" ht="27" customHeight="1" thickBot="1" x14ac:dyDescent="0.25">
      <c r="A33" s="1721" t="str">
        <f>F!A100</f>
        <v>F18</v>
      </c>
      <c r="B33" s="1669" t="str">
        <f>F!B100</f>
        <v xml:space="preserve">Sedge Cover </v>
      </c>
      <c r="C33" s="240" t="str">
        <f>F!C100</f>
        <v>Sedges (Carex spp.) and cottongrass (Eriophorum spp.) occupy:</v>
      </c>
      <c r="D33" s="348"/>
      <c r="E33" s="191"/>
      <c r="F33" s="192"/>
      <c r="G33" s="327">
        <f>IF((NoHerbCov=1),"",IF((AllForbCov=1),"",MAX(F34:F37)/MAX(E34:E37)))</f>
        <v>0</v>
      </c>
      <c r="H33" s="1669" t="s">
        <v>1718</v>
      </c>
      <c r="I33" s="1669" t="s">
        <v>1019</v>
      </c>
    </row>
    <row r="34" spans="1:9" ht="18" customHeight="1" x14ac:dyDescent="0.2">
      <c r="A34" s="1703"/>
      <c r="B34" s="1670"/>
      <c r="C34" s="222" t="str">
        <f>F!C101</f>
        <v>&lt;5% of the vegetated area, or none.</v>
      </c>
      <c r="D34" s="183">
        <f>F!D101</f>
        <v>0</v>
      </c>
      <c r="E34" s="187">
        <v>3</v>
      </c>
      <c r="F34" s="187">
        <f>D34*E34</f>
        <v>0</v>
      </c>
      <c r="G34" s="212"/>
      <c r="H34" s="1670"/>
      <c r="I34" s="1670"/>
    </row>
    <row r="35" spans="1:9" ht="18" customHeight="1" x14ac:dyDescent="0.2">
      <c r="A35" s="1703"/>
      <c r="B35" s="1670"/>
      <c r="C35" s="241" t="str">
        <f>F!C102</f>
        <v>5-50% of the vegetated area.</v>
      </c>
      <c r="D35" s="128">
        <f>F!D102</f>
        <v>0</v>
      </c>
      <c r="E35" s="187">
        <v>2</v>
      </c>
      <c r="F35" s="187">
        <f>D35*E35</f>
        <v>0</v>
      </c>
      <c r="G35" s="212"/>
      <c r="H35" s="1670"/>
      <c r="I35" s="1670"/>
    </row>
    <row r="36" spans="1:9" ht="18" customHeight="1" x14ac:dyDescent="0.2">
      <c r="A36" s="1703"/>
      <c r="B36" s="1670"/>
      <c r="C36" s="241" t="str">
        <f>F!C103</f>
        <v>50-95% of the vegetated area.</v>
      </c>
      <c r="D36" s="128">
        <f>F!D103</f>
        <v>0</v>
      </c>
      <c r="E36" s="187">
        <v>1</v>
      </c>
      <c r="F36" s="187">
        <f>D36*E36</f>
        <v>0</v>
      </c>
      <c r="G36" s="212"/>
      <c r="H36" s="1670"/>
      <c r="I36" s="1670"/>
    </row>
    <row r="37" spans="1:9" ht="18" customHeight="1" thickBot="1" x14ac:dyDescent="0.25">
      <c r="A37" s="1722"/>
      <c r="B37" s="1671"/>
      <c r="C37" s="85" t="str">
        <f>F!C104</f>
        <v>&gt;95% of the vegetated area.</v>
      </c>
      <c r="D37" s="84">
        <f>F!D104</f>
        <v>0</v>
      </c>
      <c r="E37" s="188">
        <v>0</v>
      </c>
      <c r="F37" s="188">
        <f>D37*E37</f>
        <v>0</v>
      </c>
      <c r="G37" s="216"/>
      <c r="H37" s="1671"/>
      <c r="I37" s="1671"/>
    </row>
    <row r="38" spans="1:9" ht="45" customHeight="1" thickBot="1" x14ac:dyDescent="0.25">
      <c r="A38" s="1703" t="str">
        <f>F!A128</f>
        <v>F25</v>
      </c>
      <c r="B38" s="1670" t="str">
        <f>F!B128</f>
        <v>% of AA with Persistent Surface Water</v>
      </c>
      <c r="C38" s="245" t="str">
        <f>F!C128</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38" s="193"/>
      <c r="E38" s="186"/>
      <c r="F38" s="189"/>
      <c r="G38" s="328">
        <f>IF((AllSat1&gt;0),"", MAX(F39:F43)/MAX(E39:E43))</f>
        <v>0</v>
      </c>
      <c r="H38" s="1670" t="s">
        <v>1830</v>
      </c>
      <c r="I38" s="1669" t="s">
        <v>495</v>
      </c>
    </row>
    <row r="39" spans="1:9" ht="27" customHeight="1" x14ac:dyDescent="0.2">
      <c r="A39" s="1703"/>
      <c r="B39" s="1670"/>
      <c r="C39" s="241" t="str">
        <f>F!C129</f>
        <v>None. The AA dries up completely (no water in channels either) or never has surface water during most years.  SKIP to F27.</v>
      </c>
      <c r="D39" s="128">
        <f>F!D129</f>
        <v>0</v>
      </c>
      <c r="E39" s="186">
        <v>5</v>
      </c>
      <c r="F39" s="187">
        <f>D39*E39</f>
        <v>0</v>
      </c>
      <c r="G39" s="384"/>
      <c r="H39" s="1670"/>
      <c r="I39" s="1670"/>
    </row>
    <row r="40" spans="1:9" ht="18" customHeight="1" x14ac:dyDescent="0.2">
      <c r="A40" s="1703"/>
      <c r="B40" s="1670"/>
      <c r="C40" s="241" t="str">
        <f>F!C130</f>
        <v>1-20% of the AA.</v>
      </c>
      <c r="D40" s="128">
        <f>F!D130</f>
        <v>0</v>
      </c>
      <c r="E40" s="35">
        <v>4</v>
      </c>
      <c r="F40" s="187">
        <f>D40*E40</f>
        <v>0</v>
      </c>
      <c r="G40" s="384"/>
      <c r="H40" s="1670"/>
      <c r="I40" s="1670"/>
    </row>
    <row r="41" spans="1:9" ht="18" customHeight="1" x14ac:dyDescent="0.2">
      <c r="A41" s="1703"/>
      <c r="B41" s="1670"/>
      <c r="C41" s="241" t="str">
        <f>F!C131</f>
        <v>20-50% of the AA.</v>
      </c>
      <c r="D41" s="128">
        <f>F!D131</f>
        <v>0</v>
      </c>
      <c r="E41" s="35">
        <v>3</v>
      </c>
      <c r="F41" s="187">
        <f>D41*E41</f>
        <v>0</v>
      </c>
      <c r="G41" s="384"/>
      <c r="H41" s="1670"/>
      <c r="I41" s="1670"/>
    </row>
    <row r="42" spans="1:9" ht="18" customHeight="1" x14ac:dyDescent="0.2">
      <c r="A42" s="1703"/>
      <c r="B42" s="1670"/>
      <c r="C42" s="241" t="str">
        <f>F!C132</f>
        <v>50-95% of the AA.</v>
      </c>
      <c r="D42" s="128">
        <f>F!D132</f>
        <v>0</v>
      </c>
      <c r="E42" s="35">
        <v>2</v>
      </c>
      <c r="F42" s="187">
        <f>D42*E42</f>
        <v>0</v>
      </c>
      <c r="G42" s="384"/>
      <c r="H42" s="1670"/>
      <c r="I42" s="1670"/>
    </row>
    <row r="43" spans="1:9" ht="18" customHeight="1" thickBot="1" x14ac:dyDescent="0.25">
      <c r="A43" s="1722"/>
      <c r="B43" s="1671"/>
      <c r="C43" s="85" t="str">
        <f>F!C133</f>
        <v>&gt;95% of the AA. True for many fringe wetlands.</v>
      </c>
      <c r="D43" s="84">
        <f>F!D133</f>
        <v>0</v>
      </c>
      <c r="E43" s="112">
        <v>1</v>
      </c>
      <c r="F43" s="188">
        <f>D43*E43</f>
        <v>0</v>
      </c>
      <c r="G43" s="385"/>
      <c r="H43" s="1671"/>
      <c r="I43" s="1671"/>
    </row>
    <row r="44" spans="1:9" ht="30" customHeight="1" thickBot="1" x14ac:dyDescent="0.25">
      <c r="A44" s="1721" t="str">
        <f>F!A140</f>
        <v>F27</v>
      </c>
      <c r="B44" s="1669" t="str">
        <f>F!B140</f>
        <v>% of AA that is Flooded Only Seasonally</v>
      </c>
      <c r="C44" s="240" t="str">
        <f>F!C140</f>
        <v>The percentage of the AA's area that is between the annual high water and the annual low water (surface water) is:</v>
      </c>
      <c r="D44" s="348"/>
      <c r="E44" s="191"/>
      <c r="F44" s="192"/>
      <c r="G44" s="327">
        <f>IF((AllSat1&gt;0),"", MAX(F45:F49)/MAX(E45:E49))</f>
        <v>0</v>
      </c>
      <c r="H44" s="1669" t="s">
        <v>1831</v>
      </c>
      <c r="I44" s="1669" t="s">
        <v>494</v>
      </c>
    </row>
    <row r="45" spans="1:9" ht="15" customHeight="1" x14ac:dyDescent="0.2">
      <c r="A45" s="1703"/>
      <c r="B45" s="1670"/>
      <c r="C45" s="222" t="str">
        <f>F!C141</f>
        <v>None, or &lt;0.01 hectare and &lt;1% of the AA.  SKIP to F29.</v>
      </c>
      <c r="D45" s="183">
        <f>F!D141</f>
        <v>0</v>
      </c>
      <c r="E45" s="35">
        <v>0</v>
      </c>
      <c r="F45" s="187">
        <f>D45*E45</f>
        <v>0</v>
      </c>
      <c r="G45" s="383"/>
      <c r="H45" s="1670"/>
      <c r="I45" s="1670"/>
    </row>
    <row r="46" spans="1:9" ht="15" customHeight="1" x14ac:dyDescent="0.2">
      <c r="A46" s="1703"/>
      <c r="B46" s="1670"/>
      <c r="C46" s="241" t="str">
        <f>F!C142</f>
        <v>1-20% of the AA, or &lt;1% but &gt;0.01 ha.</v>
      </c>
      <c r="D46" s="128">
        <f>F!D142</f>
        <v>0</v>
      </c>
      <c r="E46" s="35">
        <v>1</v>
      </c>
      <c r="F46" s="187">
        <f>D46*E46</f>
        <v>0</v>
      </c>
      <c r="G46" s="384"/>
      <c r="H46" s="1670"/>
      <c r="I46" s="1670"/>
    </row>
    <row r="47" spans="1:9" ht="15" customHeight="1" x14ac:dyDescent="0.2">
      <c r="A47" s="1703"/>
      <c r="B47" s="1670"/>
      <c r="C47" s="241" t="str">
        <f>F!C143</f>
        <v>20-50% of the AA.</v>
      </c>
      <c r="D47" s="128">
        <f>F!D143</f>
        <v>0</v>
      </c>
      <c r="E47" s="35">
        <v>2</v>
      </c>
      <c r="F47" s="187">
        <f>D47*E47</f>
        <v>0</v>
      </c>
      <c r="G47" s="384"/>
      <c r="H47" s="1670"/>
      <c r="I47" s="1670"/>
    </row>
    <row r="48" spans="1:9" ht="15" customHeight="1" x14ac:dyDescent="0.2">
      <c r="A48" s="1703"/>
      <c r="B48" s="1670"/>
      <c r="C48" s="241" t="str">
        <f>F!C144</f>
        <v>50-95% of the AA.</v>
      </c>
      <c r="D48" s="128">
        <f>F!D144</f>
        <v>0</v>
      </c>
      <c r="E48" s="35">
        <v>3</v>
      </c>
      <c r="F48" s="187">
        <f>D48*E48</f>
        <v>0</v>
      </c>
      <c r="G48" s="384"/>
      <c r="H48" s="1670"/>
      <c r="I48" s="1670"/>
    </row>
    <row r="49" spans="1:9" ht="15" customHeight="1" thickBot="1" x14ac:dyDescent="0.25">
      <c r="A49" s="1722"/>
      <c r="B49" s="1671"/>
      <c r="C49" s="85" t="str">
        <f>F!C145</f>
        <v xml:space="preserve">&gt;95% of the AA. </v>
      </c>
      <c r="D49" s="84">
        <f>F!D145</f>
        <v>0</v>
      </c>
      <c r="E49" s="112">
        <v>4</v>
      </c>
      <c r="F49" s="188">
        <f>D49*E49</f>
        <v>0</v>
      </c>
      <c r="G49" s="385"/>
      <c r="H49" s="1671"/>
      <c r="I49" s="1671"/>
    </row>
    <row r="50" spans="1:9" ht="30" customHeight="1" thickBot="1" x14ac:dyDescent="0.25">
      <c r="A50" s="1703" t="str">
        <f>F!A146</f>
        <v>F28</v>
      </c>
      <c r="B50" s="1696" t="str">
        <f>F!B146</f>
        <v>Annual Water Fluctuation Range</v>
      </c>
      <c r="C50" s="245" t="str">
        <f>F!C146</f>
        <v>The annual fluctuation in surface water level within most of the parts of the AA that contain surface water at least temporarily is:</v>
      </c>
      <c r="D50" s="193"/>
      <c r="E50" s="186"/>
      <c r="F50" s="189"/>
      <c r="G50" s="328">
        <f>IF((AllSat1&gt;0),"", IF((NoSeasonal=1),"",MAX(F51:F55)/MAX(E51:E55)))</f>
        <v>0</v>
      </c>
      <c r="H50" s="1670" t="s">
        <v>1832</v>
      </c>
      <c r="I50" s="1669" t="s">
        <v>506</v>
      </c>
    </row>
    <row r="51" spans="1:9" ht="15" customHeight="1" x14ac:dyDescent="0.2">
      <c r="A51" s="1703"/>
      <c r="B51" s="1696"/>
      <c r="C51" s="14" t="str">
        <f>F!C147</f>
        <v>&lt;10 cm change (stable or nearly so).</v>
      </c>
      <c r="D51" s="129">
        <f>F!D147</f>
        <v>0</v>
      </c>
      <c r="E51" s="187">
        <v>5</v>
      </c>
      <c r="F51" s="187">
        <f>D51*E51</f>
        <v>0</v>
      </c>
      <c r="G51" s="383"/>
      <c r="H51" s="1670"/>
      <c r="I51" s="1670"/>
    </row>
    <row r="52" spans="1:9" ht="15" customHeight="1" x14ac:dyDescent="0.2">
      <c r="A52" s="1703"/>
      <c r="B52" s="1696"/>
      <c r="C52" s="4" t="str">
        <f>F!C148</f>
        <v>10 cm - 50 cm change.</v>
      </c>
      <c r="D52" s="33">
        <f>F!D148</f>
        <v>0</v>
      </c>
      <c r="E52" s="187">
        <v>3</v>
      </c>
      <c r="F52" s="187">
        <f>D52*E52</f>
        <v>0</v>
      </c>
      <c r="G52" s="384"/>
      <c r="H52" s="1670"/>
      <c r="I52" s="1670"/>
    </row>
    <row r="53" spans="1:9" ht="15" customHeight="1" x14ac:dyDescent="0.2">
      <c r="A53" s="1703"/>
      <c r="B53" s="1696"/>
      <c r="C53" s="4" t="str">
        <f>F!C149</f>
        <v>0.5 - 1 m change.</v>
      </c>
      <c r="D53" s="33">
        <f>F!D149</f>
        <v>0</v>
      </c>
      <c r="E53" s="187">
        <v>2</v>
      </c>
      <c r="F53" s="187">
        <f>D53*E53</f>
        <v>0</v>
      </c>
      <c r="G53" s="384"/>
      <c r="H53" s="1670"/>
      <c r="I53" s="1670"/>
    </row>
    <row r="54" spans="1:9" ht="15" customHeight="1" x14ac:dyDescent="0.2">
      <c r="A54" s="1703"/>
      <c r="B54" s="1696"/>
      <c r="C54" s="4" t="str">
        <f>F!C150</f>
        <v>1-2 m change.</v>
      </c>
      <c r="D54" s="33">
        <f>F!D150</f>
        <v>0</v>
      </c>
      <c r="E54" s="190">
        <v>1</v>
      </c>
      <c r="F54" s="190">
        <f>D54*E54</f>
        <v>0</v>
      </c>
      <c r="G54" s="391"/>
      <c r="H54" s="1670"/>
      <c r="I54" s="1670"/>
    </row>
    <row r="55" spans="1:9" ht="15" customHeight="1" thickBot="1" x14ac:dyDescent="0.25">
      <c r="A55" s="1722"/>
      <c r="B55" s="1712"/>
      <c r="C55" s="4" t="str">
        <f>F!C151</f>
        <v>&gt;2 m change.</v>
      </c>
      <c r="D55" s="33">
        <f>F!D151</f>
        <v>0</v>
      </c>
      <c r="E55" s="188">
        <v>0</v>
      </c>
      <c r="F55" s="188">
        <f>D55*E55</f>
        <v>0</v>
      </c>
      <c r="G55" s="385"/>
      <c r="H55" s="1671"/>
      <c r="I55" s="1671"/>
    </row>
    <row r="56" spans="1:9" ht="36" customHeight="1" thickBot="1" x14ac:dyDescent="0.25">
      <c r="A56" s="1721" t="str">
        <f>F!A153</f>
        <v>F29</v>
      </c>
      <c r="B56" s="1693" t="str">
        <f>F!B153</f>
        <v>Predominant Depth Class</v>
      </c>
      <c r="C56" s="240" t="str">
        <f>F!C153</f>
        <v>During most of the time when surface water is present during the growing season, its depth, averaged over the entire inundated part of the AA, is:</v>
      </c>
      <c r="D56" s="348"/>
      <c r="E56" s="191"/>
      <c r="F56" s="192"/>
      <c r="G56" s="327">
        <f>IF((AllSat1&gt;0),"",MAX(F57:F61)/MAX(E57:E61))</f>
        <v>0</v>
      </c>
      <c r="H56" s="1669" t="s">
        <v>1833</v>
      </c>
      <c r="I56" s="1669" t="s">
        <v>497</v>
      </c>
    </row>
    <row r="57" spans="1:9" ht="18" customHeight="1" x14ac:dyDescent="0.2">
      <c r="A57" s="1703"/>
      <c r="B57" s="1696"/>
      <c r="C57" s="14" t="str">
        <f>F!C154</f>
        <v>&lt;10 cm deep (but &gt;0).</v>
      </c>
      <c r="D57" s="129">
        <f>F!D154</f>
        <v>0</v>
      </c>
      <c r="E57" s="187">
        <v>1</v>
      </c>
      <c r="F57" s="187">
        <f>D57*E57</f>
        <v>0</v>
      </c>
      <c r="G57" s="383"/>
      <c r="H57" s="1670"/>
      <c r="I57" s="1670"/>
    </row>
    <row r="58" spans="1:9" ht="18" customHeight="1" x14ac:dyDescent="0.2">
      <c r="A58" s="1703"/>
      <c r="B58" s="1696"/>
      <c r="C58" s="4" t="str">
        <f>F!C155</f>
        <v>10 - 50 cm deep.</v>
      </c>
      <c r="D58" s="33">
        <f>F!D155</f>
        <v>0</v>
      </c>
      <c r="E58" s="187">
        <v>2</v>
      </c>
      <c r="F58" s="187">
        <f>D58*E58</f>
        <v>0</v>
      </c>
      <c r="G58" s="384"/>
      <c r="H58" s="1670"/>
      <c r="I58" s="1670"/>
    </row>
    <row r="59" spans="1:9" ht="18" customHeight="1" x14ac:dyDescent="0.2">
      <c r="A59" s="1703"/>
      <c r="B59" s="1696"/>
      <c r="C59" s="4" t="str">
        <f>F!C156</f>
        <v>0.5 - 1 m deep.</v>
      </c>
      <c r="D59" s="33">
        <f>F!D156</f>
        <v>0</v>
      </c>
      <c r="E59" s="187">
        <v>3</v>
      </c>
      <c r="F59" s="187">
        <f>D59*E59</f>
        <v>0</v>
      </c>
      <c r="G59" s="384"/>
      <c r="H59" s="1670"/>
      <c r="I59" s="1670"/>
    </row>
    <row r="60" spans="1:9" ht="18" customHeight="1" x14ac:dyDescent="0.2">
      <c r="A60" s="1703"/>
      <c r="B60" s="1696"/>
      <c r="C60" s="4" t="str">
        <f>F!C157</f>
        <v>1 - 2 m deep.</v>
      </c>
      <c r="D60" s="33">
        <f>F!D157</f>
        <v>0</v>
      </c>
      <c r="E60" s="187">
        <v>2</v>
      </c>
      <c r="F60" s="187">
        <f>D60*E60</f>
        <v>0</v>
      </c>
      <c r="G60" s="384"/>
      <c r="H60" s="1670"/>
      <c r="I60" s="1670"/>
    </row>
    <row r="61" spans="1:9" ht="24" customHeight="1" thickBot="1" x14ac:dyDescent="0.25">
      <c r="A61" s="1722"/>
      <c r="B61" s="1712"/>
      <c r="C61" s="85" t="str">
        <f>F!C158</f>
        <v>&gt;2 m deep. True for many fringe wetlands.</v>
      </c>
      <c r="D61" s="84">
        <f>F!D158</f>
        <v>0</v>
      </c>
      <c r="E61" s="188">
        <v>1</v>
      </c>
      <c r="F61" s="188">
        <f>D61*E61</f>
        <v>0</v>
      </c>
      <c r="G61" s="385"/>
      <c r="H61" s="1671"/>
      <c r="I61" s="1671"/>
    </row>
    <row r="62" spans="1:9" ht="45" customHeight="1" thickBot="1" x14ac:dyDescent="0.25">
      <c r="A62" s="1862" t="str">
        <f>F!A163</f>
        <v>F31</v>
      </c>
      <c r="B62" s="1666" t="str">
        <f>F!B163</f>
        <v>% of Water That Is Ponded (not Flowing)</v>
      </c>
      <c r="C62" s="240" t="str">
        <f>F!C163</f>
        <v>During most times when surface water is present, the percentage that is (1) ponded (stagnant, or flows so slowly that fine sediment is not held in suspension) AND (2) is likely to be deeper than 0.5 m in some places, is:</v>
      </c>
      <c r="D62" s="348"/>
      <c r="E62" s="191"/>
      <c r="F62" s="394"/>
      <c r="G62" s="327">
        <f>IF((AllSat1&gt;0),"", MAX(F63:F67)/MAX(E63:E67))</f>
        <v>0</v>
      </c>
      <c r="H62" s="1955" t="s">
        <v>1181</v>
      </c>
      <c r="I62" s="1669" t="s">
        <v>496</v>
      </c>
    </row>
    <row r="63" spans="1:9" ht="27" customHeight="1" x14ac:dyDescent="0.2">
      <c r="A63" s="1703"/>
      <c r="B63" s="1670"/>
      <c r="C63" s="14" t="str">
        <f>F!C164</f>
        <v>&lt;5% of the water, or it occupies &lt;100 sq.m cumulatively. Nearly all the surface water is flowing. SKIP to F34.</v>
      </c>
      <c r="D63" s="145">
        <f>F!D164</f>
        <v>0</v>
      </c>
      <c r="E63" s="187">
        <v>1</v>
      </c>
      <c r="F63" s="187">
        <f>D63*E63</f>
        <v>0</v>
      </c>
      <c r="G63" s="384"/>
      <c r="H63" s="1956"/>
      <c r="I63" s="1670"/>
    </row>
    <row r="64" spans="1:9" ht="21" customHeight="1" x14ac:dyDescent="0.2">
      <c r="A64" s="1703"/>
      <c r="B64" s="1670"/>
      <c r="C64" s="4" t="str">
        <f>F!C165</f>
        <v>5-30% of the water.</v>
      </c>
      <c r="D64" s="146">
        <f>F!D165</f>
        <v>0</v>
      </c>
      <c r="E64" s="187">
        <v>3</v>
      </c>
      <c r="F64" s="187">
        <f>D64*E64</f>
        <v>0</v>
      </c>
      <c r="G64" s="384"/>
      <c r="H64" s="1956"/>
      <c r="I64" s="1670"/>
    </row>
    <row r="65" spans="1:9" ht="21" customHeight="1" x14ac:dyDescent="0.2">
      <c r="A65" s="1703"/>
      <c r="B65" s="1670"/>
      <c r="C65" s="4" t="str">
        <f>F!C166</f>
        <v>30-70% of the water.</v>
      </c>
      <c r="D65" s="146">
        <f>F!D166</f>
        <v>0</v>
      </c>
      <c r="E65" s="187">
        <v>3</v>
      </c>
      <c r="F65" s="187">
        <f>D65*E65</f>
        <v>0</v>
      </c>
      <c r="G65" s="384"/>
      <c r="H65" s="1956"/>
      <c r="I65" s="1670"/>
    </row>
    <row r="66" spans="1:9" ht="21" customHeight="1" x14ac:dyDescent="0.2">
      <c r="A66" s="1703"/>
      <c r="B66" s="1670"/>
      <c r="C66" s="4" t="str">
        <f>F!C167</f>
        <v>70-95% of the water.</v>
      </c>
      <c r="D66" s="146">
        <f>F!D167</f>
        <v>0</v>
      </c>
      <c r="E66" s="190">
        <v>2</v>
      </c>
      <c r="F66" s="187">
        <f>D66*E66</f>
        <v>0</v>
      </c>
      <c r="G66" s="384"/>
      <c r="H66" s="1956"/>
      <c r="I66" s="1670"/>
    </row>
    <row r="67" spans="1:9" ht="33" customHeight="1" thickBot="1" x14ac:dyDescent="0.25">
      <c r="A67" s="1722"/>
      <c r="B67" s="1671"/>
      <c r="C67" s="85" t="str">
        <f>F!C168</f>
        <v>&gt;95% of the water.</v>
      </c>
      <c r="D67" s="147">
        <f>F!D168</f>
        <v>0</v>
      </c>
      <c r="E67" s="188">
        <v>1</v>
      </c>
      <c r="F67" s="188">
        <f>D67*E67</f>
        <v>0</v>
      </c>
      <c r="G67" s="385"/>
      <c r="H67" s="1957"/>
      <c r="I67" s="1671"/>
    </row>
    <row r="68" spans="1:9" ht="33" customHeight="1" thickBot="1" x14ac:dyDescent="0.25">
      <c r="A68" s="1954" t="str">
        <f>F!A170</f>
        <v>F33</v>
      </c>
      <c r="B68" s="1669" t="str">
        <f>F!B170</f>
        <v xml:space="preserve">% of Ponded Water that is Open </v>
      </c>
      <c r="C68" s="3" t="str">
        <f>F!C170</f>
        <v>In ducks-eye aerial view, the percentage of the ponded water that is open (lacking emergent vegetation during most of the growing season, and unhidden by a forest or shrub canopy) is:</v>
      </c>
      <c r="D68" s="379"/>
      <c r="E68" s="186"/>
      <c r="F68" s="186"/>
      <c r="G68" s="328">
        <f>IF((AllSat1&gt;0),"",IF((NoPonded=1),"",MAX(F69:F74)/MAX(E69:E74)))</f>
        <v>0</v>
      </c>
      <c r="H68" s="1670" t="s">
        <v>1834</v>
      </c>
      <c r="I68" s="1669" t="s">
        <v>409</v>
      </c>
    </row>
    <row r="69" spans="1:9" ht="30" customHeight="1" x14ac:dyDescent="0.2">
      <c r="A69" s="1893"/>
      <c r="B69" s="1670"/>
      <c r="C69" s="222" t="str">
        <f>F!C171</f>
        <v>None, or &lt;1% of the AA and largest pool occupies &lt;0.01 hectares. Enter "1" and SKIP to F41 (Floating Algae &amp; Duckweed).</v>
      </c>
      <c r="D69" s="128">
        <f>F!D171</f>
        <v>0</v>
      </c>
      <c r="E69" s="187">
        <v>1</v>
      </c>
      <c r="F69" s="187">
        <f t="shared" ref="F69:F74" si="1">D69*E69</f>
        <v>0</v>
      </c>
      <c r="G69" s="384"/>
      <c r="H69" s="1670"/>
      <c r="I69" s="1670"/>
    </row>
    <row r="70" spans="1:9" ht="21" customHeight="1" x14ac:dyDescent="0.2">
      <c r="A70" s="1893"/>
      <c r="B70" s="1670"/>
      <c r="C70" s="241" t="str">
        <f>F!C172</f>
        <v>1-4% of the ponded water. Enter "1" and SKIP to F41 (Floating Algae &amp; Duckweed).</v>
      </c>
      <c r="D70" s="128">
        <f>F!D172</f>
        <v>0</v>
      </c>
      <c r="E70" s="187">
        <v>2</v>
      </c>
      <c r="F70" s="187">
        <f t="shared" si="1"/>
        <v>0</v>
      </c>
      <c r="G70" s="384"/>
      <c r="H70" s="1670"/>
      <c r="I70" s="1670"/>
    </row>
    <row r="71" spans="1:9" ht="21" customHeight="1" x14ac:dyDescent="0.2">
      <c r="A71" s="1893"/>
      <c r="B71" s="1670"/>
      <c r="C71" s="241" t="str">
        <f>F!C173</f>
        <v>5-30% of the ponded water.</v>
      </c>
      <c r="D71" s="128">
        <f>F!D173</f>
        <v>0</v>
      </c>
      <c r="E71" s="187">
        <v>4</v>
      </c>
      <c r="F71" s="187">
        <f t="shared" si="1"/>
        <v>0</v>
      </c>
      <c r="G71" s="384"/>
      <c r="H71" s="1670"/>
      <c r="I71" s="1670"/>
    </row>
    <row r="72" spans="1:9" ht="21" customHeight="1" x14ac:dyDescent="0.2">
      <c r="A72" s="1893"/>
      <c r="B72" s="1670"/>
      <c r="C72" s="241" t="str">
        <f>F!C174</f>
        <v>30-70% of the ponded water.</v>
      </c>
      <c r="D72" s="128">
        <f>F!D174</f>
        <v>0</v>
      </c>
      <c r="E72" s="187">
        <v>3</v>
      </c>
      <c r="F72" s="187">
        <f t="shared" si="1"/>
        <v>0</v>
      </c>
      <c r="G72" s="384"/>
      <c r="H72" s="1670"/>
      <c r="I72" s="1670"/>
    </row>
    <row r="73" spans="1:9" ht="21" customHeight="1" x14ac:dyDescent="0.2">
      <c r="A73" s="1893"/>
      <c r="B73" s="1670"/>
      <c r="C73" s="241" t="str">
        <f>F!C175</f>
        <v>70-99% of the ponded water.</v>
      </c>
      <c r="D73" s="128">
        <f>F!D175</f>
        <v>0</v>
      </c>
      <c r="E73" s="187">
        <v>2</v>
      </c>
      <c r="F73" s="187">
        <f t="shared" si="1"/>
        <v>0</v>
      </c>
      <c r="G73" s="384"/>
      <c r="H73" s="1670"/>
      <c r="I73" s="1670"/>
    </row>
    <row r="74" spans="1:9" ht="30.75" customHeight="1" thickBot="1" x14ac:dyDescent="0.25">
      <c r="A74" s="1894"/>
      <c r="B74" s="1671"/>
      <c r="C74" s="241" t="str">
        <f>F!C176</f>
        <v xml:space="preserve">100% of the ponded water. </v>
      </c>
      <c r="D74" s="128">
        <f>F!D176</f>
        <v>0</v>
      </c>
      <c r="E74" s="190">
        <v>0</v>
      </c>
      <c r="F74" s="190">
        <f t="shared" si="1"/>
        <v>0</v>
      </c>
      <c r="G74" s="391"/>
      <c r="H74" s="1671"/>
      <c r="I74" s="1671"/>
    </row>
    <row r="75" spans="1:9" ht="30" customHeight="1" thickBot="1" x14ac:dyDescent="0.25">
      <c r="A75" s="1703" t="str">
        <f>F!A177</f>
        <v>F34</v>
      </c>
      <c r="B75" s="1805" t="str">
        <f>F!B177</f>
        <v>Width of Vegetated Zone within Wetland</v>
      </c>
      <c r="C75" s="3" t="str">
        <f>F!C177</f>
        <v>At the time during the growing season when the AA's water level is lowest, the average width of vegetated area in the AA that separates adjoining uplands from open water within the AA is:</v>
      </c>
      <c r="D75" s="348"/>
      <c r="E75" s="191"/>
      <c r="F75" s="192"/>
      <c r="G75" s="400">
        <f>IF((AllSat1&gt;0),"",IF((NoOpenPonded=1),"",MAX(F76:F81)/MAX(E76:E81)))</f>
        <v>0</v>
      </c>
      <c r="H75" s="1670" t="s">
        <v>1835</v>
      </c>
      <c r="I75" s="1669" t="s">
        <v>498</v>
      </c>
    </row>
    <row r="76" spans="1:9" ht="15" customHeight="1" x14ac:dyDescent="0.2">
      <c r="A76" s="1703"/>
      <c r="B76" s="1803"/>
      <c r="C76" s="676" t="str">
        <f>F!C178</f>
        <v>&lt;1 m.</v>
      </c>
      <c r="D76" s="129">
        <f>F!D178</f>
        <v>0</v>
      </c>
      <c r="E76" s="203">
        <v>0</v>
      </c>
      <c r="F76" s="187">
        <f t="shared" ref="F76:F81" si="2">D76*E76</f>
        <v>0</v>
      </c>
      <c r="G76" s="461"/>
      <c r="H76" s="1670"/>
      <c r="I76" s="1670"/>
    </row>
    <row r="77" spans="1:9" ht="15" customHeight="1" x14ac:dyDescent="0.2">
      <c r="A77" s="1703"/>
      <c r="B77" s="1803"/>
      <c r="C77" s="628" t="str">
        <f>F!C179</f>
        <v>1 - 9 m.</v>
      </c>
      <c r="D77" s="33">
        <f>F!D179</f>
        <v>0</v>
      </c>
      <c r="E77" s="203">
        <v>1</v>
      </c>
      <c r="F77" s="187">
        <f t="shared" si="2"/>
        <v>0</v>
      </c>
      <c r="G77" s="462"/>
      <c r="H77" s="1670"/>
      <c r="I77" s="1670"/>
    </row>
    <row r="78" spans="1:9" ht="15" customHeight="1" x14ac:dyDescent="0.2">
      <c r="A78" s="1703"/>
      <c r="B78" s="1803"/>
      <c r="C78" s="628" t="str">
        <f>F!C180</f>
        <v>10 - 29 m.</v>
      </c>
      <c r="D78" s="33">
        <f>F!D180</f>
        <v>0</v>
      </c>
      <c r="E78" s="203">
        <v>2</v>
      </c>
      <c r="F78" s="187">
        <f t="shared" si="2"/>
        <v>0</v>
      </c>
      <c r="G78" s="462"/>
      <c r="H78" s="1670"/>
      <c r="I78" s="1670"/>
    </row>
    <row r="79" spans="1:9" ht="15" customHeight="1" x14ac:dyDescent="0.2">
      <c r="A79" s="1703"/>
      <c r="B79" s="1803"/>
      <c r="C79" s="628" t="str">
        <f>F!C181</f>
        <v>30 - 49 m.</v>
      </c>
      <c r="D79" s="33">
        <f>F!D181</f>
        <v>0</v>
      </c>
      <c r="E79" s="203">
        <v>3</v>
      </c>
      <c r="F79" s="187">
        <f t="shared" si="2"/>
        <v>0</v>
      </c>
      <c r="G79" s="462"/>
      <c r="H79" s="1670"/>
      <c r="I79" s="1670"/>
    </row>
    <row r="80" spans="1:9" ht="15" customHeight="1" x14ac:dyDescent="0.2">
      <c r="A80" s="1703"/>
      <c r="B80" s="1803"/>
      <c r="C80" s="628" t="str">
        <f>F!C182</f>
        <v>50 - 100 m.</v>
      </c>
      <c r="D80" s="33">
        <f>F!D182</f>
        <v>0</v>
      </c>
      <c r="E80" s="203">
        <v>4</v>
      </c>
      <c r="F80" s="187">
        <f t="shared" si="2"/>
        <v>0</v>
      </c>
      <c r="G80" s="462"/>
      <c r="H80" s="1670"/>
      <c r="I80" s="1670"/>
    </row>
    <row r="81" spans="1:9" ht="15" customHeight="1" thickBot="1" x14ac:dyDescent="0.25">
      <c r="A81" s="1722"/>
      <c r="B81" s="1804"/>
      <c r="C81" s="677" t="str">
        <f>F!C183</f>
        <v>&gt; 100 m, or open water is absent at that time.</v>
      </c>
      <c r="D81" s="84">
        <f>F!D183</f>
        <v>0</v>
      </c>
      <c r="E81" s="203">
        <v>6</v>
      </c>
      <c r="F81" s="188">
        <f t="shared" si="2"/>
        <v>0</v>
      </c>
      <c r="G81" s="463"/>
      <c r="H81" s="1671"/>
      <c r="I81" s="1671"/>
    </row>
    <row r="82" spans="1:9" ht="60" customHeight="1" thickBot="1" x14ac:dyDescent="0.25">
      <c r="A82" s="1721" t="str">
        <f>F!A206</f>
        <v>F42</v>
      </c>
      <c r="B82" s="1693" t="str">
        <f>F!B206</f>
        <v>Channel Connection &amp; Outflow Duration</v>
      </c>
      <c r="C82" s="3" t="str">
        <f>F!C206</f>
        <v>The most persistent surface water connection (outlet channel or pipe, ditch, or overbank water exchange) between the AA and a downslope stream network is: [Note: If the AA represents only part of a wetland, answer this according to whichever is the least permanent surface connection: the one between the AA and the rest of the wetland, or the surface connection between the wetland and the downslope stream network.]</v>
      </c>
      <c r="D82" s="348"/>
      <c r="E82" s="191"/>
      <c r="F82" s="192"/>
      <c r="G82" s="400">
        <f>IF((AllSat1=1),"",MAX(F83:F87)/MAX(E83:E87))</f>
        <v>0</v>
      </c>
      <c r="H82" s="1669" t="s">
        <v>1836</v>
      </c>
      <c r="I82" s="1669" t="s">
        <v>500</v>
      </c>
    </row>
    <row r="83" spans="1:9" ht="16.899999999999999" customHeight="1" x14ac:dyDescent="0.2">
      <c r="A83" s="1703"/>
      <c r="B83" s="1696"/>
      <c r="C83" s="676" t="str">
        <f>F!C207</f>
        <v>Persistent (surface water flows out for &gt;9 months/year).</v>
      </c>
      <c r="D83" s="129">
        <f>F!D207</f>
        <v>0</v>
      </c>
      <c r="E83" s="187">
        <v>3</v>
      </c>
      <c r="F83" s="187">
        <f>D83*E83</f>
        <v>0</v>
      </c>
      <c r="G83" s="461"/>
      <c r="H83" s="1670"/>
      <c r="I83" s="1670"/>
    </row>
    <row r="84" spans="1:9" ht="15" customHeight="1" x14ac:dyDescent="0.2">
      <c r="A84" s="1703"/>
      <c r="B84" s="1696"/>
      <c r="C84" s="628" t="str">
        <f>F!C208</f>
        <v>Seasonal (surface water flows out for 14 days to 9 months/year, not necessarily consecutive).</v>
      </c>
      <c r="D84" s="33">
        <f>F!D208</f>
        <v>0</v>
      </c>
      <c r="E84" s="187">
        <v>6</v>
      </c>
      <c r="F84" s="187">
        <f>D84*E84</f>
        <v>0</v>
      </c>
      <c r="G84" s="462"/>
      <c r="H84" s="1670"/>
      <c r="I84" s="1670"/>
    </row>
    <row r="85" spans="1:9" ht="15" customHeight="1" x14ac:dyDescent="0.2">
      <c r="A85" s="1703"/>
      <c r="B85" s="1696"/>
      <c r="C85" s="628" t="str">
        <f>F!C209</f>
        <v>Temporary (surface water flows out for &lt;14 days, not necessarily consecutive).</v>
      </c>
      <c r="D85" s="33">
        <f>F!D209</f>
        <v>0</v>
      </c>
      <c r="E85" s="187">
        <v>8</v>
      </c>
      <c r="F85" s="187">
        <f>D85*E85</f>
        <v>0</v>
      </c>
      <c r="G85" s="462"/>
      <c r="H85" s="1670"/>
      <c r="I85" s="1670"/>
    </row>
    <row r="86" spans="1:9" ht="27" customHeight="1" x14ac:dyDescent="0.2">
      <c r="A86" s="1703"/>
      <c r="B86" s="1696"/>
      <c r="C86" s="628" t="str">
        <f>F!C210</f>
        <v>None -- but maps show a stream network downslope from the AA and within a distance that is less than the AA's length. SKIP to F47 (pH Measurement).</v>
      </c>
      <c r="D86" s="33">
        <f>F!D210</f>
        <v>0</v>
      </c>
      <c r="E86" s="203">
        <v>10</v>
      </c>
      <c r="F86" s="187">
        <f>D86*E86</f>
        <v>0</v>
      </c>
      <c r="G86" s="606"/>
      <c r="H86" s="1670"/>
      <c r="I86" s="1670"/>
    </row>
    <row r="87" spans="1:9" ht="27" customHeight="1" thickBot="1" x14ac:dyDescent="0.25">
      <c r="A87" s="1722"/>
      <c r="B87" s="1712"/>
      <c r="C87" s="677" t="str">
        <f>F!C211</f>
        <v>No surface water flows out of the wetland except possibly during extreme events (&lt;once per 10 years). Or, water flows only into a wetland, ditch, or lake that lacks an outlet. SKIP to F47 (pH Measurement).</v>
      </c>
      <c r="D87" s="84">
        <f>F!D211</f>
        <v>0</v>
      </c>
      <c r="E87" s="204">
        <v>10</v>
      </c>
      <c r="F87" s="188">
        <f>D87*E87</f>
        <v>0</v>
      </c>
      <c r="G87" s="463"/>
      <c r="H87" s="1671"/>
      <c r="I87" s="1671"/>
    </row>
    <row r="88" spans="1:9" ht="33" customHeight="1" thickBot="1" x14ac:dyDescent="0.25">
      <c r="A88" s="1721" t="str">
        <f>F!A212</f>
        <v>F43</v>
      </c>
      <c r="B88" s="1669" t="str">
        <f>F!B212</f>
        <v xml:space="preserve">Outflow Confinement </v>
      </c>
      <c r="C88" s="240" t="str">
        <f>F!C212</f>
        <v>During major runoff events, in the places where surface water exits the AA or connected waters nearby, the water:</v>
      </c>
      <c r="D88" s="348"/>
      <c r="E88" s="191"/>
      <c r="F88" s="192"/>
      <c r="G88" s="327">
        <f>IF((OutNone + OutNone1&gt;0),"",MAX(F89:F91)/MAX(E89:E91))</f>
        <v>0</v>
      </c>
      <c r="H88" s="1669" t="s">
        <v>1837</v>
      </c>
      <c r="I88" s="1669" t="s">
        <v>501</v>
      </c>
    </row>
    <row r="89" spans="1:9" ht="45" customHeight="1" x14ac:dyDescent="0.2">
      <c r="A89" s="1703"/>
      <c r="B89" s="1670"/>
      <c r="C89" s="14" t="str">
        <f>F!C213</f>
        <v>Mostly passes through a pipe, culvert, narrowly breached dike, berm, beaver dam, or other partial obstruction (other than natural topography) that does not appear to drain the wetland artificially during most of the growing season.</v>
      </c>
      <c r="D89" s="129">
        <f>F!D213</f>
        <v>0</v>
      </c>
      <c r="E89" s="187">
        <v>3</v>
      </c>
      <c r="F89" s="187">
        <f>D89*E89</f>
        <v>0</v>
      </c>
      <c r="G89" s="383"/>
      <c r="H89" s="1670"/>
      <c r="I89" s="1670"/>
    </row>
    <row r="90" spans="1:9" ht="18" customHeight="1" x14ac:dyDescent="0.2">
      <c r="A90" s="1703"/>
      <c r="B90" s="1670"/>
      <c r="C90" s="4" t="str">
        <f>F!C214</f>
        <v>Leaves through natural exits (channels or diffuse outflow), not mainly through artificial or temporary features.</v>
      </c>
      <c r="D90" s="33">
        <f>F!D214</f>
        <v>0</v>
      </c>
      <c r="E90" s="187">
        <v>2</v>
      </c>
      <c r="F90" s="187">
        <f>D90*E90</f>
        <v>0</v>
      </c>
      <c r="G90" s="392"/>
      <c r="H90" s="1670"/>
      <c r="I90" s="1670"/>
    </row>
    <row r="91" spans="1:9" ht="36" customHeight="1" thickBot="1" x14ac:dyDescent="0.25">
      <c r="A91" s="1722"/>
      <c r="B91" s="1671"/>
      <c r="C91" s="85" t="str">
        <f>F!C215</f>
        <v>Is exported more quickly than usual due to ditches or pipes within the AA or connected to its outlet, or within 10 m of the AA's edge, which drain the wetland artificially, or water is pumped out of the AA.</v>
      </c>
      <c r="D91" s="84">
        <f>F!D215</f>
        <v>0</v>
      </c>
      <c r="E91" s="188">
        <v>0</v>
      </c>
      <c r="F91" s="188">
        <f>D91*E91</f>
        <v>0</v>
      </c>
      <c r="G91" s="385"/>
      <c r="H91" s="1671"/>
      <c r="I91" s="1671"/>
    </row>
    <row r="92" spans="1:9" ht="21" customHeight="1" thickBot="1" x14ac:dyDescent="0.25">
      <c r="A92" s="1703" t="str">
        <f>F!A237</f>
        <v>F50</v>
      </c>
      <c r="B92" s="1670" t="str">
        <f>F!B237</f>
        <v>Groundwater Strength of Evidence</v>
      </c>
      <c r="C92" s="245" t="str">
        <f>F!C237</f>
        <v>Select first applicable choice:</v>
      </c>
      <c r="D92" s="193"/>
      <c r="E92" s="186"/>
      <c r="F92" s="408"/>
      <c r="G92" s="409">
        <f>MAX(F93:F95)/MAX(E93:E95)</f>
        <v>0</v>
      </c>
      <c r="H92" s="1696" t="s">
        <v>1449</v>
      </c>
      <c r="I92" s="1669" t="s">
        <v>493</v>
      </c>
    </row>
    <row r="93" spans="1:9" ht="42" customHeight="1" x14ac:dyDescent="0.2">
      <c r="A93" s="1703"/>
      <c r="B93" s="1670"/>
      <c r="C93" s="222"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93" s="183">
        <f>F!D238</f>
        <v>0</v>
      </c>
      <c r="E93" s="187">
        <v>0</v>
      </c>
      <c r="F93" s="187">
        <f>D93*E93</f>
        <v>0</v>
      </c>
      <c r="G93" s="383"/>
      <c r="H93" s="1696"/>
      <c r="I93" s="1670"/>
    </row>
    <row r="94" spans="1:9" ht="27" customHeight="1" x14ac:dyDescent="0.2">
      <c r="A94" s="1703"/>
      <c r="B94" s="1670"/>
      <c r="C94" s="241" t="str">
        <f>F!C239</f>
        <v>Most of the AA has a slope of &gt;5%, or is very close to the base of a natural slope longer than 100 and much steeper than the slope of the AA,  AND the pH of surface water, if known, is &gt;5.5.</v>
      </c>
      <c r="D94" s="128">
        <f>F!D239</f>
        <v>0</v>
      </c>
      <c r="E94" s="187">
        <v>1</v>
      </c>
      <c r="F94" s="187">
        <f>D94*E94</f>
        <v>0</v>
      </c>
      <c r="G94" s="384"/>
      <c r="H94" s="1696"/>
      <c r="I94" s="1670"/>
    </row>
    <row r="95" spans="1:9" ht="27" customHeight="1" thickBot="1" x14ac:dyDescent="0.25">
      <c r="A95" s="1722"/>
      <c r="B95" s="1671"/>
      <c r="C95" s="85" t="str">
        <f>F!C240</f>
        <v>Neither of above is true, although some groundwater may discharge to or flow through the AA. Or groundwater influx is unknown.</v>
      </c>
      <c r="D95" s="84">
        <f>F!D240</f>
        <v>0</v>
      </c>
      <c r="E95" s="188">
        <v>2</v>
      </c>
      <c r="F95" s="188">
        <f>D95*E95</f>
        <v>0</v>
      </c>
      <c r="G95" s="385"/>
      <c r="H95" s="1712"/>
      <c r="I95" s="1671"/>
    </row>
    <row r="96" spans="1:9" ht="21" customHeight="1" thickBot="1" x14ac:dyDescent="0.25">
      <c r="A96" s="1693" t="str">
        <f>F!A241</f>
        <v>F51</v>
      </c>
      <c r="B96" s="1693" t="str">
        <f>F!B241</f>
        <v>Internal Gradient</v>
      </c>
      <c r="C96" s="240" t="str">
        <f>F!C241</f>
        <v>The gradient along most of the flow path within the AA is:</v>
      </c>
      <c r="D96" s="378"/>
      <c r="E96" s="191"/>
      <c r="F96" s="192"/>
      <c r="G96" s="327">
        <f>MAX(F97:F100)/MAX(E97:E100)</f>
        <v>0</v>
      </c>
      <c r="H96" s="1693" t="s">
        <v>593</v>
      </c>
      <c r="I96" s="1669" t="s">
        <v>1664</v>
      </c>
    </row>
    <row r="97" spans="1:9" ht="15" customHeight="1" x14ac:dyDescent="0.2">
      <c r="A97" s="1696"/>
      <c r="B97" s="1696"/>
      <c r="C97" s="14" t="str">
        <f>F!C242</f>
        <v>&lt;2% or the AA has no surface water outlet (not even seasonally).</v>
      </c>
      <c r="D97" s="33">
        <f>F!D242</f>
        <v>0</v>
      </c>
      <c r="E97" s="203">
        <v>4</v>
      </c>
      <c r="F97" s="187">
        <f>D97*E97</f>
        <v>0</v>
      </c>
      <c r="G97" s="383"/>
      <c r="H97" s="1696"/>
      <c r="I97" s="1670"/>
    </row>
    <row r="98" spans="1:9" ht="15" customHeight="1" x14ac:dyDescent="0.2">
      <c r="A98" s="1696"/>
      <c r="B98" s="1696"/>
      <c r="C98" s="4" t="str">
        <f>F!C243</f>
        <v>2-5%.</v>
      </c>
      <c r="D98" s="33">
        <f>F!D243</f>
        <v>0</v>
      </c>
      <c r="E98" s="203">
        <v>2</v>
      </c>
      <c r="F98" s="187">
        <f>D98*E98</f>
        <v>0</v>
      </c>
      <c r="G98" s="384"/>
      <c r="H98" s="1696"/>
      <c r="I98" s="1670"/>
    </row>
    <row r="99" spans="1:9" ht="15" customHeight="1" x14ac:dyDescent="0.2">
      <c r="A99" s="1696"/>
      <c r="B99" s="1696"/>
      <c r="C99" s="4" t="str">
        <f>F!C244</f>
        <v>6-10%.</v>
      </c>
      <c r="D99" s="33">
        <f>F!D244</f>
        <v>0</v>
      </c>
      <c r="E99" s="203">
        <v>1</v>
      </c>
      <c r="F99" s="187">
        <f>D99*E99</f>
        <v>0</v>
      </c>
      <c r="G99" s="384"/>
      <c r="H99" s="1696"/>
      <c r="I99" s="1670"/>
    </row>
    <row r="100" spans="1:9" ht="15" customHeight="1" thickBot="1" x14ac:dyDescent="0.25">
      <c r="A100" s="1712"/>
      <c r="B100" s="1712"/>
      <c r="C100" s="85" t="str">
        <f>F!C245</f>
        <v>&gt;10%.</v>
      </c>
      <c r="D100" s="84">
        <f>F!D245</f>
        <v>0</v>
      </c>
      <c r="E100" s="204">
        <v>0</v>
      </c>
      <c r="F100" s="188">
        <f>D100*E100</f>
        <v>0</v>
      </c>
      <c r="G100" s="385"/>
      <c r="H100" s="1712"/>
      <c r="I100" s="1671"/>
    </row>
    <row r="101" spans="1:9" ht="30" customHeight="1" thickBot="1" x14ac:dyDescent="0.25">
      <c r="A101" s="1958" t="str">
        <f>F!A262</f>
        <v>F56</v>
      </c>
      <c r="B101" s="1955" t="str">
        <f>F!B262</f>
        <v>New or Expanded Wetland</v>
      </c>
      <c r="C101" s="240" t="str">
        <f>F!C262</f>
        <v>Human actions within or adjacent to the AA have persistently expanded a naturally occurring wetland or created a wetland where there previously was none (e.g., by excavation, impoundment):</v>
      </c>
      <c r="D101" s="635"/>
      <c r="E101" s="186"/>
      <c r="F101" s="189"/>
      <c r="G101" s="328">
        <f>IF((D107=1),"",MAX(F102:F106)/MAX(E102:E106))</f>
        <v>0</v>
      </c>
      <c r="H101" s="1956" t="s">
        <v>1450</v>
      </c>
      <c r="I101" s="1669" t="s">
        <v>504</v>
      </c>
    </row>
    <row r="102" spans="1:9" ht="18" customHeight="1" x14ac:dyDescent="0.2">
      <c r="A102" s="1958"/>
      <c r="B102" s="1956"/>
      <c r="C102" s="14" t="str">
        <f>F!C263</f>
        <v>No.</v>
      </c>
      <c r="D102" s="33">
        <f>F!D263</f>
        <v>0</v>
      </c>
      <c r="E102" s="321">
        <v>5</v>
      </c>
      <c r="F102" s="187">
        <f>D102*E102</f>
        <v>0</v>
      </c>
      <c r="G102" s="383"/>
      <c r="H102" s="1956"/>
      <c r="I102" s="1670"/>
    </row>
    <row r="103" spans="1:9" ht="18" customHeight="1" x14ac:dyDescent="0.2">
      <c r="A103" s="1958"/>
      <c r="B103" s="1956"/>
      <c r="C103" s="4" t="str">
        <f>F!C264</f>
        <v xml:space="preserve">Yes, and created or expanded 20 - 100 years ago. </v>
      </c>
      <c r="D103" s="33">
        <f>F!D264</f>
        <v>0</v>
      </c>
      <c r="E103" s="321">
        <v>2</v>
      </c>
      <c r="F103" s="187">
        <f>D103*E103</f>
        <v>0</v>
      </c>
      <c r="G103" s="384"/>
      <c r="H103" s="1956"/>
      <c r="I103" s="1670"/>
    </row>
    <row r="104" spans="1:9" ht="18" customHeight="1" x14ac:dyDescent="0.2">
      <c r="A104" s="1958"/>
      <c r="B104" s="1956"/>
      <c r="C104" s="4" t="str">
        <f>F!C265</f>
        <v>Yes, and created or expanded 3-20 years ago.</v>
      </c>
      <c r="D104" s="33">
        <f>F!D265</f>
        <v>0</v>
      </c>
      <c r="E104" s="321">
        <v>1</v>
      </c>
      <c r="F104" s="187">
        <f>D104*E104</f>
        <v>0</v>
      </c>
      <c r="G104" s="384"/>
      <c r="H104" s="1956"/>
      <c r="I104" s="1670"/>
    </row>
    <row r="105" spans="1:9" ht="18" customHeight="1" x14ac:dyDescent="0.2">
      <c r="A105" s="1958"/>
      <c r="B105" s="1956"/>
      <c r="C105" s="4" t="str">
        <f>F!C266</f>
        <v>Yes, and created or expanded within last 3 years.</v>
      </c>
      <c r="D105" s="33">
        <f>F!D266</f>
        <v>0</v>
      </c>
      <c r="E105" s="321">
        <v>0</v>
      </c>
      <c r="F105" s="187">
        <f>D105*E105</f>
        <v>0</v>
      </c>
      <c r="G105" s="384"/>
      <c r="H105" s="1956"/>
      <c r="I105" s="1670"/>
    </row>
    <row r="106" spans="1:9" ht="18" customHeight="1" x14ac:dyDescent="0.2">
      <c r="A106" s="1958"/>
      <c r="B106" s="1956"/>
      <c r="C106" s="4" t="str">
        <f>F!C267</f>
        <v>Yes, but time of origin or expansion unknown.</v>
      </c>
      <c r="D106" s="33">
        <f>F!D267</f>
        <v>0</v>
      </c>
      <c r="E106" s="321">
        <v>1</v>
      </c>
      <c r="F106" s="187">
        <f>D106*E106</f>
        <v>0</v>
      </c>
      <c r="G106" s="384"/>
      <c r="H106" s="1956"/>
      <c r="I106" s="1670"/>
    </row>
    <row r="107" spans="1:9" ht="25.5" customHeight="1" thickBot="1" x14ac:dyDescent="0.25">
      <c r="A107" s="1958"/>
      <c r="B107" s="1956"/>
      <c r="C107" s="241" t="str">
        <f>F!C268</f>
        <v>Unknown if new or expanded within 20 years or not.</v>
      </c>
      <c r="D107" s="128">
        <f>F!D268</f>
        <v>0</v>
      </c>
      <c r="E107" s="321"/>
      <c r="F107" s="190"/>
      <c r="G107" s="391"/>
      <c r="H107" s="1956"/>
      <c r="I107" s="1671"/>
    </row>
    <row r="108" spans="1:9" ht="45" customHeight="1" thickBot="1" x14ac:dyDescent="0.25">
      <c r="A108" s="1955" t="str">
        <f>F!A269</f>
        <v>F57</v>
      </c>
      <c r="B108" s="1955" t="str">
        <f>F!B269</f>
        <v>Burn History</v>
      </c>
      <c r="C108" s="907" t="str">
        <f>F!C269</f>
        <v>More than 1% of the AA's previously vegetated area:</v>
      </c>
      <c r="D108" s="202"/>
      <c r="E108" s="191"/>
      <c r="F108" s="191"/>
      <c r="G108" s="327">
        <f>MAX(F109:F112)/MAX(E109:E112)</f>
        <v>0</v>
      </c>
      <c r="H108" s="1955" t="s">
        <v>1619</v>
      </c>
      <c r="I108" s="1669" t="s">
        <v>1556</v>
      </c>
    </row>
    <row r="109" spans="1:9" ht="27" customHeight="1" x14ac:dyDescent="0.2">
      <c r="A109" s="1956"/>
      <c r="B109" s="1956"/>
      <c r="C109" s="908" t="str">
        <f>F!C270</f>
        <v>Burned within past 5 years.</v>
      </c>
      <c r="D109" s="132">
        <f>F!D270</f>
        <v>0</v>
      </c>
      <c r="E109" s="187">
        <v>0</v>
      </c>
      <c r="F109" s="187">
        <f>D109*E109</f>
        <v>0</v>
      </c>
      <c r="G109" s="384"/>
      <c r="H109" s="1956"/>
      <c r="I109" s="1670"/>
    </row>
    <row r="110" spans="1:9" ht="27" customHeight="1" x14ac:dyDescent="0.2">
      <c r="A110" s="1956"/>
      <c r="B110" s="1956"/>
      <c r="C110" s="909" t="str">
        <f>F!C271</f>
        <v>Burned 6-10 years ago.</v>
      </c>
      <c r="D110" s="132">
        <f>F!D271</f>
        <v>0</v>
      </c>
      <c r="E110" s="187">
        <v>1</v>
      </c>
      <c r="F110" s="187">
        <f>D110*E110</f>
        <v>0</v>
      </c>
      <c r="G110" s="384"/>
      <c r="H110" s="1956"/>
      <c r="I110" s="1670"/>
    </row>
    <row r="111" spans="1:9" ht="27" customHeight="1" x14ac:dyDescent="0.2">
      <c r="A111" s="1956"/>
      <c r="B111" s="1956"/>
      <c r="C111" s="909" t="str">
        <f>F!C272</f>
        <v>Burned 11-30 years ago.</v>
      </c>
      <c r="D111" s="132">
        <f>F!D272</f>
        <v>0</v>
      </c>
      <c r="E111" s="187">
        <v>3</v>
      </c>
      <c r="F111" s="187">
        <f>D111*E111</f>
        <v>0</v>
      </c>
      <c r="G111" s="384"/>
      <c r="H111" s="1956"/>
      <c r="I111" s="1670"/>
    </row>
    <row r="112" spans="1:9" ht="27" customHeight="1" thickBot="1" x14ac:dyDescent="0.25">
      <c r="A112" s="1957"/>
      <c r="B112" s="1957"/>
      <c r="C112" s="910" t="str">
        <f>F!C273</f>
        <v>Burned &gt;30 years ago, or no evidence of a burn and no data.</v>
      </c>
      <c r="D112" s="148">
        <f>F!D273</f>
        <v>0</v>
      </c>
      <c r="E112" s="188">
        <v>2</v>
      </c>
      <c r="F112" s="188">
        <f>D112*E112</f>
        <v>0</v>
      </c>
      <c r="G112" s="385"/>
      <c r="H112" s="1957"/>
      <c r="I112" s="1671"/>
    </row>
    <row r="113" spans="1:9" ht="132" customHeight="1" thickBot="1" x14ac:dyDescent="0.25">
      <c r="A113" s="283" t="str">
        <f>S!A69</f>
        <v>S5</v>
      </c>
      <c r="B113" s="283" t="str">
        <f>S!B69</f>
        <v>Soil or Sediment Alteration Within the Assessment Area</v>
      </c>
      <c r="C113" s="911" t="s">
        <v>978</v>
      </c>
      <c r="D113" s="121">
        <f>S!F86</f>
        <v>0</v>
      </c>
      <c r="E113" s="199"/>
      <c r="F113" s="199"/>
      <c r="G113" s="327">
        <f>1-D113</f>
        <v>1</v>
      </c>
      <c r="H113" s="82" t="s">
        <v>1722</v>
      </c>
      <c r="I113" s="36" t="s">
        <v>1017</v>
      </c>
    </row>
    <row r="114" spans="1:9" ht="21" customHeight="1" thickBot="1" x14ac:dyDescent="0.25">
      <c r="A114" s="1859"/>
      <c r="B114" s="1859"/>
      <c r="C114" s="1859"/>
      <c r="D114" s="1859"/>
      <c r="E114" s="1859"/>
      <c r="F114" s="1859"/>
      <c r="G114" s="1859"/>
      <c r="H114" s="1859"/>
    </row>
    <row r="115" spans="1:9" ht="30" customHeight="1" x14ac:dyDescent="0.2">
      <c r="A115" s="1841"/>
      <c r="B115" s="1841"/>
      <c r="C115" s="1841"/>
      <c r="D115" s="1959" t="s">
        <v>1138</v>
      </c>
      <c r="E115" s="1960"/>
      <c r="F115" s="1960"/>
      <c r="G115" s="916">
        <f xml:space="preserve"> AVERAGE(Wettype5,MossCov5,Burn5,SoilDisturb5, SoilTex5, AVERAGE(DecidTree5,Warmth5,VwidthAbs5,NewWet5))</f>
        <v>0.16666666666666666</v>
      </c>
      <c r="H115" s="1039" t="s">
        <v>2298</v>
      </c>
      <c r="I115" s="1040" t="s">
        <v>2117</v>
      </c>
    </row>
    <row r="116" spans="1:9" ht="21" customHeight="1" x14ac:dyDescent="0.2">
      <c r="A116" s="1841"/>
      <c r="B116" s="1841"/>
      <c r="C116" s="1841"/>
      <c r="D116" s="1915" t="s">
        <v>1157</v>
      </c>
      <c r="E116" s="1916"/>
      <c r="F116" s="1916"/>
      <c r="G116" s="917">
        <f>AVERAGE(Depth5,AVERAGE(Warmth5,MossCov5,Wettype5,Constric5))</f>
        <v>0</v>
      </c>
      <c r="H116" s="1016" t="s">
        <v>2185</v>
      </c>
      <c r="I116" s="1031" t="s">
        <v>2118</v>
      </c>
    </row>
    <row r="117" spans="1:9" ht="21" customHeight="1" x14ac:dyDescent="0.2">
      <c r="A117" s="1841"/>
      <c r="B117" s="1841"/>
      <c r="C117" s="1841"/>
      <c r="D117" s="1961" t="s">
        <v>2042</v>
      </c>
      <c r="E117" s="1962"/>
      <c r="F117" s="1962"/>
      <c r="G117" s="917">
        <f xml:space="preserve"> AVERAGE(OutDura5,Constric5,AqPlantCov5,Gradient5,ISOwet5)</f>
        <v>0</v>
      </c>
      <c r="H117" s="1016" t="s">
        <v>2184</v>
      </c>
      <c r="I117" s="1031" t="s">
        <v>2119</v>
      </c>
    </row>
    <row r="118" spans="1:9" ht="21" customHeight="1" thickBot="1" x14ac:dyDescent="0.25">
      <c r="A118" s="1841"/>
      <c r="B118" s="1841"/>
      <c r="C118" s="1841"/>
      <c r="D118" s="1963" t="s">
        <v>1125</v>
      </c>
      <c r="E118" s="1964"/>
      <c r="F118" s="1964"/>
      <c r="G118" s="918">
        <f>AVERAGE(MossCov5,Sedge5,SeasWpct5,Fluctu5,TreeForm5,SoilDisturb5,GroundW5,PermWpct5)</f>
        <v>0.14285714285714285</v>
      </c>
      <c r="H118" s="1032" t="s">
        <v>2354</v>
      </c>
      <c r="I118" s="1033" t="s">
        <v>2120</v>
      </c>
    </row>
    <row r="119" spans="1:9" ht="21" customHeight="1" thickBot="1" x14ac:dyDescent="0.25">
      <c r="A119" s="1841"/>
      <c r="B119" s="1841"/>
      <c r="C119" s="1965"/>
      <c r="D119" s="1965"/>
      <c r="E119" s="1965"/>
      <c r="F119" s="1965"/>
      <c r="G119" s="1965"/>
      <c r="H119" s="1841"/>
      <c r="I119" s="1038"/>
    </row>
    <row r="120" spans="1:9" ht="30" customHeight="1" thickBot="1" x14ac:dyDescent="0.25">
      <c r="A120" s="1841"/>
      <c r="B120" s="1841"/>
      <c r="C120" s="1838" t="s">
        <v>22</v>
      </c>
      <c r="D120" s="1839"/>
      <c r="E120" s="1840"/>
      <c r="F120" s="859" t="s">
        <v>52</v>
      </c>
      <c r="G120" s="919">
        <f>10*((2*MAX(HistAccum5, PhysAccum5) + Productiv + 3*MethLimit5) /6)</f>
        <v>1.2698412698412698</v>
      </c>
      <c r="H120" s="1807" t="s">
        <v>952</v>
      </c>
      <c r="I120" s="1808"/>
    </row>
    <row r="121" spans="1:9" ht="30" customHeight="1" thickBot="1" x14ac:dyDescent="0.25">
      <c r="A121" s="1841"/>
      <c r="B121" s="1841"/>
      <c r="C121" s="1838" t="s">
        <v>1909</v>
      </c>
      <c r="D121" s="1839"/>
      <c r="E121" s="1840"/>
      <c r="F121" s="1046" t="s">
        <v>2223</v>
      </c>
      <c r="G121" s="920"/>
      <c r="H121" s="1807" t="s">
        <v>594</v>
      </c>
      <c r="I121" s="1808"/>
    </row>
    <row r="122" spans="1:9" ht="21" customHeight="1" thickBot="1" x14ac:dyDescent="0.25">
      <c r="A122" s="2"/>
      <c r="D122" s="13"/>
      <c r="E122" s="2"/>
      <c r="F122" s="2"/>
      <c r="G122" s="2"/>
      <c r="H122" s="2"/>
    </row>
    <row r="123" spans="1:9" ht="21" customHeight="1" thickBot="1" x14ac:dyDescent="0.25">
      <c r="A123" s="2"/>
      <c r="D123" s="13"/>
      <c r="E123" s="2"/>
      <c r="F123" s="2"/>
      <c r="G123" s="2"/>
      <c r="H123" s="1854" t="s">
        <v>669</v>
      </c>
      <c r="I123" s="1855"/>
    </row>
    <row r="124" spans="1:9" ht="27" customHeight="1" x14ac:dyDescent="0.2">
      <c r="A124" s="2"/>
      <c r="D124" s="13"/>
      <c r="E124" s="2"/>
      <c r="F124" s="2"/>
      <c r="G124" s="2"/>
      <c r="H124" s="1966" t="s">
        <v>743</v>
      </c>
      <c r="I124" s="1967"/>
    </row>
    <row r="125" spans="1:9" ht="27" customHeight="1" x14ac:dyDescent="0.2">
      <c r="A125" s="2"/>
      <c r="D125" s="13"/>
      <c r="E125" s="2"/>
      <c r="F125" s="2"/>
      <c r="G125" s="2"/>
      <c r="H125" s="1792" t="s">
        <v>1187</v>
      </c>
      <c r="I125" s="1793"/>
    </row>
    <row r="126" spans="1:9" ht="27" customHeight="1" x14ac:dyDescent="0.2">
      <c r="A126" s="2"/>
      <c r="D126" s="13"/>
      <c r="E126" s="2"/>
      <c r="F126" s="2"/>
      <c r="G126" s="2"/>
      <c r="H126" s="1792" t="s">
        <v>744</v>
      </c>
      <c r="I126" s="1793"/>
    </row>
    <row r="127" spans="1:9" ht="27" customHeight="1" x14ac:dyDescent="0.2">
      <c r="A127" s="2"/>
      <c r="D127" s="13"/>
      <c r="E127" s="2"/>
      <c r="F127" s="2"/>
      <c r="G127" s="2"/>
      <c r="H127" s="1792" t="s">
        <v>1719</v>
      </c>
      <c r="I127" s="1793"/>
    </row>
    <row r="128" spans="1:9" ht="27" customHeight="1" x14ac:dyDescent="0.2">
      <c r="A128" s="2"/>
      <c r="D128" s="13"/>
      <c r="E128" s="2"/>
      <c r="F128" s="2"/>
      <c r="G128" s="2"/>
      <c r="H128" s="1792" t="s">
        <v>745</v>
      </c>
      <c r="I128" s="1793"/>
    </row>
    <row r="129" spans="1:9" ht="27" customHeight="1" x14ac:dyDescent="0.2">
      <c r="A129" s="2"/>
      <c r="D129" s="13"/>
      <c r="E129" s="2"/>
      <c r="F129" s="2"/>
      <c r="G129" s="2"/>
      <c r="H129" s="1792" t="s">
        <v>746</v>
      </c>
      <c r="I129" s="1793"/>
    </row>
    <row r="130" spans="1:9" ht="27" customHeight="1" x14ac:dyDescent="0.2">
      <c r="A130" s="2"/>
      <c r="D130" s="13"/>
      <c r="E130" s="2"/>
      <c r="F130" s="2"/>
      <c r="G130" s="2"/>
      <c r="H130" s="1792" t="s">
        <v>747</v>
      </c>
      <c r="I130" s="1793"/>
    </row>
    <row r="131" spans="1:9" ht="42" customHeight="1" x14ac:dyDescent="0.2">
      <c r="A131" s="2"/>
      <c r="D131" s="13"/>
      <c r="E131" s="2"/>
      <c r="F131" s="2"/>
      <c r="G131" s="2"/>
      <c r="H131" s="1792" t="s">
        <v>748</v>
      </c>
      <c r="I131" s="1793"/>
    </row>
    <row r="132" spans="1:9" ht="57" customHeight="1" x14ac:dyDescent="0.2">
      <c r="A132" s="2"/>
      <c r="D132" s="13"/>
      <c r="E132" s="2"/>
      <c r="F132" s="2"/>
      <c r="G132" s="2"/>
      <c r="H132" s="1792" t="s">
        <v>749</v>
      </c>
      <c r="I132" s="1793"/>
    </row>
    <row r="133" spans="1:9" ht="42" customHeight="1" x14ac:dyDescent="0.2">
      <c r="A133" s="2"/>
      <c r="D133" s="13"/>
      <c r="E133" s="2"/>
      <c r="F133" s="2"/>
      <c r="G133" s="2"/>
      <c r="H133" s="1792" t="s">
        <v>750</v>
      </c>
      <c r="I133" s="1793"/>
    </row>
    <row r="134" spans="1:9" ht="42" customHeight="1" x14ac:dyDescent="0.2">
      <c r="A134" s="2"/>
      <c r="D134" s="13"/>
      <c r="E134" s="2"/>
      <c r="F134" s="2"/>
      <c r="G134" s="2"/>
      <c r="H134" s="1796" t="s">
        <v>1507</v>
      </c>
      <c r="I134" s="1797"/>
    </row>
    <row r="135" spans="1:9" ht="27" customHeight="1" x14ac:dyDescent="0.2">
      <c r="A135" s="2"/>
      <c r="D135" s="13"/>
      <c r="E135" s="2"/>
      <c r="F135" s="2"/>
      <c r="G135" s="2"/>
      <c r="H135" s="1792" t="s">
        <v>751</v>
      </c>
      <c r="I135" s="1793"/>
    </row>
    <row r="136" spans="1:9" ht="57" customHeight="1" x14ac:dyDescent="0.2">
      <c r="A136" s="2"/>
      <c r="D136" s="13"/>
      <c r="E136" s="2"/>
      <c r="F136" s="2"/>
      <c r="G136" s="2"/>
      <c r="H136" s="1792" t="s">
        <v>752</v>
      </c>
      <c r="I136" s="1793"/>
    </row>
    <row r="137" spans="1:9" ht="27" customHeight="1" x14ac:dyDescent="0.2">
      <c r="A137" s="2"/>
      <c r="D137" s="13"/>
      <c r="E137" s="2"/>
      <c r="F137" s="2"/>
      <c r="G137" s="2"/>
      <c r="H137" s="1792" t="s">
        <v>753</v>
      </c>
      <c r="I137" s="1793"/>
    </row>
    <row r="138" spans="1:9" ht="27" customHeight="1" x14ac:dyDescent="0.2">
      <c r="A138" s="2"/>
      <c r="D138" s="13"/>
      <c r="E138" s="2"/>
      <c r="F138" s="2"/>
      <c r="G138" s="2"/>
      <c r="H138" s="1792" t="s">
        <v>754</v>
      </c>
      <c r="I138" s="1793"/>
    </row>
    <row r="139" spans="1:9" ht="27" customHeight="1" x14ac:dyDescent="0.2">
      <c r="A139" s="2"/>
      <c r="D139" s="13"/>
      <c r="E139" s="2"/>
      <c r="F139" s="2"/>
      <c r="G139" s="2"/>
      <c r="H139" s="1792" t="s">
        <v>755</v>
      </c>
      <c r="I139" s="1793"/>
    </row>
    <row r="140" spans="1:9" ht="42" customHeight="1" x14ac:dyDescent="0.2">
      <c r="A140" s="2"/>
      <c r="D140" s="13"/>
      <c r="E140" s="2"/>
      <c r="F140" s="2"/>
      <c r="G140" s="2"/>
      <c r="H140" s="1792" t="s">
        <v>756</v>
      </c>
      <c r="I140" s="1793"/>
    </row>
    <row r="141" spans="1:9" ht="42" customHeight="1" x14ac:dyDescent="0.2">
      <c r="A141" s="2"/>
      <c r="D141" s="13"/>
      <c r="E141" s="2"/>
      <c r="F141" s="2"/>
      <c r="G141" s="2"/>
      <c r="H141" s="1792" t="s">
        <v>757</v>
      </c>
      <c r="I141" s="1793"/>
    </row>
    <row r="142" spans="1:9" ht="27" customHeight="1" x14ac:dyDescent="0.2">
      <c r="A142" s="2"/>
      <c r="D142" s="13"/>
      <c r="E142" s="2"/>
      <c r="F142" s="2"/>
      <c r="G142" s="2"/>
      <c r="H142" s="1792" t="s">
        <v>1095</v>
      </c>
      <c r="I142" s="1793"/>
    </row>
    <row r="143" spans="1:9" ht="42" customHeight="1" x14ac:dyDescent="0.2">
      <c r="A143" s="2"/>
      <c r="D143" s="13"/>
      <c r="E143" s="2"/>
      <c r="F143" s="2"/>
      <c r="G143" s="2"/>
      <c r="H143" s="1792" t="s">
        <v>759</v>
      </c>
      <c r="I143" s="1793"/>
    </row>
    <row r="144" spans="1:9" ht="42" customHeight="1" x14ac:dyDescent="0.2">
      <c r="A144" s="2"/>
      <c r="D144" s="13"/>
      <c r="E144" s="2"/>
      <c r="F144" s="2"/>
      <c r="G144" s="2"/>
      <c r="H144" s="1792" t="s">
        <v>760</v>
      </c>
      <c r="I144" s="1793"/>
    </row>
    <row r="145" spans="1:9" ht="27" customHeight="1" x14ac:dyDescent="0.2">
      <c r="A145" s="2"/>
      <c r="D145" s="13"/>
      <c r="E145" s="2"/>
      <c r="F145" s="2"/>
      <c r="G145" s="2"/>
      <c r="H145" s="1792" t="s">
        <v>761</v>
      </c>
      <c r="I145" s="1793"/>
    </row>
    <row r="146" spans="1:9" ht="42" customHeight="1" x14ac:dyDescent="0.2">
      <c r="A146" s="2"/>
      <c r="D146" s="13"/>
      <c r="E146" s="2"/>
      <c r="F146" s="2"/>
      <c r="G146" s="2"/>
      <c r="H146" s="1792" t="s">
        <v>762</v>
      </c>
      <c r="I146" s="1793"/>
    </row>
    <row r="147" spans="1:9" ht="54" customHeight="1" x14ac:dyDescent="0.2">
      <c r="A147" s="2"/>
      <c r="D147" s="13"/>
      <c r="E147" s="2"/>
      <c r="F147" s="2"/>
      <c r="G147" s="2"/>
      <c r="H147" s="1792" t="s">
        <v>763</v>
      </c>
      <c r="I147" s="1793"/>
    </row>
    <row r="148" spans="1:9" ht="27" customHeight="1" x14ac:dyDescent="0.2">
      <c r="A148" s="2"/>
      <c r="D148" s="13"/>
      <c r="E148" s="2"/>
      <c r="F148" s="2"/>
      <c r="G148" s="2"/>
      <c r="H148" s="1792" t="s">
        <v>1720</v>
      </c>
      <c r="I148" s="1793"/>
    </row>
    <row r="149" spans="1:9" ht="27" customHeight="1" x14ac:dyDescent="0.2">
      <c r="A149" s="2"/>
      <c r="D149" s="13"/>
      <c r="E149" s="2"/>
      <c r="F149" s="2"/>
      <c r="G149" s="2"/>
      <c r="H149" s="1792" t="s">
        <v>764</v>
      </c>
      <c r="I149" s="1793"/>
    </row>
    <row r="150" spans="1:9" ht="42" customHeight="1" x14ac:dyDescent="0.2">
      <c r="A150" s="2"/>
      <c r="D150" s="13"/>
      <c r="E150" s="2"/>
      <c r="F150" s="2"/>
      <c r="G150" s="2"/>
      <c r="H150" s="1792" t="s">
        <v>765</v>
      </c>
      <c r="I150" s="1793"/>
    </row>
    <row r="151" spans="1:9" ht="42" customHeight="1" x14ac:dyDescent="0.2">
      <c r="A151" s="2"/>
      <c r="D151" s="13"/>
      <c r="E151" s="2"/>
      <c r="F151" s="2"/>
      <c r="G151" s="2"/>
      <c r="H151" s="1792" t="s">
        <v>766</v>
      </c>
      <c r="I151" s="1793"/>
    </row>
    <row r="152" spans="1:9" ht="27" customHeight="1" x14ac:dyDescent="0.2">
      <c r="A152" s="2"/>
      <c r="D152" s="13"/>
      <c r="E152" s="2"/>
      <c r="F152" s="2"/>
      <c r="G152" s="2"/>
      <c r="H152" s="1792" t="s">
        <v>767</v>
      </c>
      <c r="I152" s="1793"/>
    </row>
    <row r="153" spans="1:9" ht="27" customHeight="1" x14ac:dyDescent="0.2">
      <c r="A153" s="2"/>
      <c r="D153" s="13"/>
      <c r="E153" s="2"/>
      <c r="F153" s="2"/>
      <c r="G153" s="2"/>
      <c r="H153" s="1796" t="s">
        <v>1510</v>
      </c>
      <c r="I153" s="1797"/>
    </row>
    <row r="154" spans="1:9" ht="42" customHeight="1" x14ac:dyDescent="0.2">
      <c r="A154" s="2"/>
      <c r="D154" s="13"/>
      <c r="E154" s="2"/>
      <c r="F154" s="2"/>
      <c r="G154" s="2"/>
      <c r="H154" s="1792" t="s">
        <v>768</v>
      </c>
      <c r="I154" s="1793"/>
    </row>
    <row r="155" spans="1:9" ht="42" customHeight="1" x14ac:dyDescent="0.2">
      <c r="A155" s="2"/>
      <c r="D155" s="13"/>
      <c r="E155" s="2"/>
      <c r="F155" s="2"/>
      <c r="G155" s="2"/>
      <c r="H155" s="1792" t="s">
        <v>769</v>
      </c>
      <c r="I155" s="1793"/>
    </row>
    <row r="156" spans="1:9" ht="27" customHeight="1" x14ac:dyDescent="0.2">
      <c r="A156" s="2"/>
      <c r="D156" s="13"/>
      <c r="E156" s="2"/>
      <c r="F156" s="2"/>
      <c r="G156" s="2"/>
      <c r="H156" s="1792" t="s">
        <v>770</v>
      </c>
      <c r="I156" s="1793"/>
    </row>
    <row r="157" spans="1:9" ht="42" customHeight="1" x14ac:dyDescent="0.2">
      <c r="A157" s="2"/>
      <c r="D157" s="13"/>
      <c r="E157" s="2"/>
      <c r="F157" s="2"/>
      <c r="G157" s="2"/>
      <c r="H157" s="1796" t="s">
        <v>1509</v>
      </c>
      <c r="I157" s="1797"/>
    </row>
    <row r="158" spans="1:9" ht="42" customHeight="1" x14ac:dyDescent="0.2">
      <c r="A158" s="2"/>
      <c r="D158" s="13"/>
      <c r="E158" s="2"/>
      <c r="F158" s="2"/>
      <c r="G158" s="2"/>
      <c r="H158" s="1792" t="s">
        <v>771</v>
      </c>
      <c r="I158" s="1793"/>
    </row>
    <row r="159" spans="1:9" ht="84" customHeight="1" x14ac:dyDescent="0.2">
      <c r="A159" s="2"/>
      <c r="D159" s="13"/>
      <c r="E159" s="2"/>
      <c r="F159" s="2"/>
      <c r="G159" s="2"/>
      <c r="H159" s="1792" t="s">
        <v>1222</v>
      </c>
      <c r="I159" s="1793"/>
    </row>
    <row r="160" spans="1:9" ht="27" customHeight="1" x14ac:dyDescent="0.2">
      <c r="A160" s="2"/>
      <c r="D160" s="13"/>
      <c r="E160" s="2"/>
      <c r="F160" s="2"/>
      <c r="G160" s="2"/>
      <c r="H160" s="1792" t="s">
        <v>772</v>
      </c>
      <c r="I160" s="1793"/>
    </row>
    <row r="161" spans="1:9" ht="27" customHeight="1" x14ac:dyDescent="0.2">
      <c r="A161" s="2"/>
      <c r="D161" s="13"/>
      <c r="E161" s="2"/>
      <c r="F161" s="2"/>
      <c r="G161" s="2"/>
      <c r="H161" s="1792" t="s">
        <v>773</v>
      </c>
      <c r="I161" s="1793"/>
    </row>
    <row r="162" spans="1:9" ht="27" customHeight="1" x14ac:dyDescent="0.2">
      <c r="A162" s="2"/>
      <c r="D162" s="13"/>
      <c r="E162" s="2"/>
      <c r="F162" s="2"/>
      <c r="G162" s="2"/>
      <c r="H162" s="1792" t="s">
        <v>1452</v>
      </c>
      <c r="I162" s="1793"/>
    </row>
    <row r="163" spans="1:9" ht="27" customHeight="1" x14ac:dyDescent="0.2">
      <c r="A163" s="2"/>
      <c r="D163" s="13"/>
      <c r="E163" s="2"/>
      <c r="F163" s="2"/>
      <c r="G163" s="2"/>
      <c r="H163" s="1792" t="s">
        <v>774</v>
      </c>
      <c r="I163" s="1793"/>
    </row>
    <row r="164" spans="1:9" ht="27" customHeight="1" x14ac:dyDescent="0.2">
      <c r="A164" s="2"/>
      <c r="D164" s="13"/>
      <c r="E164" s="2"/>
      <c r="F164" s="2"/>
      <c r="G164" s="2"/>
      <c r="H164" s="1792" t="s">
        <v>775</v>
      </c>
      <c r="I164" s="1793"/>
    </row>
    <row r="165" spans="1:9" ht="27" customHeight="1" x14ac:dyDescent="0.2">
      <c r="A165" s="2"/>
      <c r="D165" s="13"/>
      <c r="E165" s="2"/>
      <c r="F165" s="2"/>
      <c r="G165" s="2"/>
      <c r="H165" s="1792" t="s">
        <v>776</v>
      </c>
      <c r="I165" s="1793"/>
    </row>
    <row r="166" spans="1:9" ht="42" customHeight="1" x14ac:dyDescent="0.2">
      <c r="A166" s="2"/>
      <c r="D166" s="13"/>
      <c r="E166" s="2"/>
      <c r="F166" s="2"/>
      <c r="G166" s="2"/>
      <c r="H166" s="1792" t="s">
        <v>777</v>
      </c>
      <c r="I166" s="1793"/>
    </row>
    <row r="167" spans="1:9" ht="27" customHeight="1" x14ac:dyDescent="0.2">
      <c r="A167" s="2"/>
      <c r="D167" s="13"/>
      <c r="E167" s="2"/>
      <c r="F167" s="2"/>
      <c r="G167" s="2"/>
      <c r="H167" s="1792" t="s">
        <v>778</v>
      </c>
      <c r="I167" s="1793"/>
    </row>
    <row r="168" spans="1:9" ht="27" customHeight="1" x14ac:dyDescent="0.2">
      <c r="A168" s="2"/>
      <c r="D168" s="13"/>
      <c r="E168" s="2"/>
      <c r="F168" s="2"/>
      <c r="G168" s="2"/>
      <c r="H168" s="1792" t="s">
        <v>779</v>
      </c>
      <c r="I168" s="1793"/>
    </row>
    <row r="169" spans="1:9" ht="27" customHeight="1" x14ac:dyDescent="0.2">
      <c r="A169" s="2"/>
      <c r="D169" s="13"/>
      <c r="E169" s="2"/>
      <c r="F169" s="2"/>
      <c r="G169" s="2"/>
      <c r="H169" s="1792" t="s">
        <v>780</v>
      </c>
      <c r="I169" s="1793"/>
    </row>
    <row r="170" spans="1:9" ht="42" customHeight="1" x14ac:dyDescent="0.2">
      <c r="A170" s="2"/>
      <c r="D170" s="13"/>
      <c r="E170" s="2"/>
      <c r="F170" s="2"/>
      <c r="G170" s="2"/>
      <c r="H170" s="1792" t="s">
        <v>781</v>
      </c>
      <c r="I170" s="1793"/>
    </row>
    <row r="171" spans="1:9" ht="84" customHeight="1" x14ac:dyDescent="0.2">
      <c r="A171" s="2"/>
      <c r="D171" s="13"/>
      <c r="E171" s="2"/>
      <c r="F171" s="2"/>
      <c r="G171" s="2"/>
      <c r="H171" s="1792" t="s">
        <v>782</v>
      </c>
      <c r="I171" s="1793"/>
    </row>
    <row r="172" spans="1:9" ht="27" customHeight="1" x14ac:dyDescent="0.2">
      <c r="A172" s="2"/>
      <c r="D172" s="13"/>
      <c r="E172" s="2"/>
      <c r="F172" s="2"/>
      <c r="G172" s="2"/>
      <c r="H172" s="1792" t="s">
        <v>783</v>
      </c>
      <c r="I172" s="1793"/>
    </row>
    <row r="173" spans="1:9" ht="27" customHeight="1" x14ac:dyDescent="0.2">
      <c r="A173" s="2"/>
      <c r="D173" s="13"/>
      <c r="E173" s="2"/>
      <c r="F173" s="2"/>
      <c r="G173" s="2"/>
      <c r="H173" s="1792" t="s">
        <v>784</v>
      </c>
      <c r="I173" s="1793"/>
    </row>
    <row r="174" spans="1:9" ht="27" customHeight="1" x14ac:dyDescent="0.2">
      <c r="A174" s="2"/>
      <c r="D174" s="13"/>
      <c r="E174" s="2"/>
      <c r="F174" s="2"/>
      <c r="G174" s="2"/>
      <c r="H174" s="1792" t="s">
        <v>785</v>
      </c>
      <c r="I174" s="1793"/>
    </row>
    <row r="175" spans="1:9" ht="27" customHeight="1" x14ac:dyDescent="0.2">
      <c r="A175" s="2"/>
      <c r="D175" s="13"/>
      <c r="E175" s="2"/>
      <c r="F175" s="2"/>
      <c r="G175" s="2"/>
      <c r="H175" s="1792" t="s">
        <v>786</v>
      </c>
      <c r="I175" s="1793"/>
    </row>
    <row r="176" spans="1:9" ht="27" customHeight="1" x14ac:dyDescent="0.2">
      <c r="A176" s="2"/>
      <c r="D176" s="13"/>
      <c r="E176" s="2"/>
      <c r="F176" s="2"/>
      <c r="G176" s="2"/>
      <c r="H176" s="1792" t="s">
        <v>787</v>
      </c>
      <c r="I176" s="1793"/>
    </row>
    <row r="177" spans="1:9" ht="27" customHeight="1" x14ac:dyDescent="0.2">
      <c r="A177" s="2"/>
      <c r="D177" s="13"/>
      <c r="E177" s="2"/>
      <c r="F177" s="2"/>
      <c r="G177" s="2"/>
      <c r="H177" s="1792" t="s">
        <v>1721</v>
      </c>
      <c r="I177" s="1793"/>
    </row>
    <row r="178" spans="1:9" ht="42" customHeight="1" x14ac:dyDescent="0.2">
      <c r="A178" s="2"/>
      <c r="D178" s="13"/>
      <c r="E178" s="2"/>
      <c r="F178" s="2"/>
      <c r="G178" s="2"/>
      <c r="H178" s="1792" t="s">
        <v>788</v>
      </c>
      <c r="I178" s="1793"/>
    </row>
    <row r="179" spans="1:9" ht="27" customHeight="1" x14ac:dyDescent="0.2">
      <c r="A179" s="2"/>
      <c r="D179" s="13"/>
      <c r="E179" s="2"/>
      <c r="F179" s="2"/>
      <c r="G179" s="2"/>
      <c r="H179" s="1792" t="s">
        <v>789</v>
      </c>
      <c r="I179" s="1793"/>
    </row>
    <row r="180" spans="1:9" ht="42" customHeight="1" x14ac:dyDescent="0.2">
      <c r="A180" s="2"/>
      <c r="D180" s="13"/>
      <c r="E180" s="2"/>
      <c r="F180" s="2"/>
      <c r="G180" s="2"/>
      <c r="H180" s="1792" t="s">
        <v>790</v>
      </c>
      <c r="I180" s="1793"/>
    </row>
    <row r="181" spans="1:9" ht="27" customHeight="1" thickBot="1" x14ac:dyDescent="0.25">
      <c r="A181" s="2"/>
      <c r="D181" s="13"/>
      <c r="E181" s="2"/>
      <c r="F181" s="2"/>
      <c r="G181" s="2"/>
      <c r="H181" s="1794" t="s">
        <v>791</v>
      </c>
      <c r="I181" s="1795"/>
    </row>
    <row r="182" spans="1:9" ht="27" customHeight="1" x14ac:dyDescent="0.2">
      <c r="A182" s="2"/>
      <c r="D182" s="13"/>
      <c r="E182" s="2"/>
      <c r="F182" s="2"/>
      <c r="G182" s="2"/>
      <c r="H182" s="786"/>
    </row>
    <row r="183" spans="1:9" ht="27" customHeight="1" x14ac:dyDescent="0.2">
      <c r="A183" s="2"/>
      <c r="D183" s="13"/>
      <c r="E183" s="2"/>
      <c r="F183" s="2"/>
      <c r="G183" s="2"/>
      <c r="H183" s="786"/>
    </row>
    <row r="184" spans="1:9" ht="27" customHeight="1" x14ac:dyDescent="0.2">
      <c r="A184" s="2"/>
      <c r="D184" s="13"/>
      <c r="E184" s="2"/>
      <c r="F184" s="2"/>
      <c r="G184" s="2"/>
      <c r="H184" s="772"/>
    </row>
    <row r="185" spans="1:9" ht="27" customHeight="1" x14ac:dyDescent="0.2">
      <c r="A185" s="2"/>
      <c r="D185" s="13"/>
      <c r="E185" s="2"/>
      <c r="F185" s="2"/>
      <c r="G185" s="2"/>
    </row>
    <row r="186" spans="1:9" ht="27" customHeight="1" x14ac:dyDescent="0.2">
      <c r="A186" s="2"/>
      <c r="D186" s="13"/>
      <c r="E186" s="2"/>
      <c r="F186" s="2"/>
      <c r="G186" s="2"/>
    </row>
    <row r="187" spans="1:9" x14ac:dyDescent="0.2">
      <c r="A187" s="2"/>
      <c r="D187" s="13"/>
      <c r="E187" s="2"/>
      <c r="F187" s="2"/>
      <c r="G187" s="2"/>
    </row>
    <row r="188" spans="1:9" ht="26.45" customHeight="1" x14ac:dyDescent="0.2"/>
  </sheetData>
  <sheetProtection algorithmName="SHA-512" hashValue="am4bUpqLZTu0exXZcKCpw/ImBJoKu32SEl68TEbsl2zNkImUzE4iuEI6NZ+m9Ud/foo5RcuB8wzsb4qBOhugWg==" saltValue="zC6WZNujGmS1RoFbMRCilQ==" spinCount="100000" sheet="1" formatCells="0" formatColumns="0" formatRows="0"/>
  <customSheetViews>
    <customSheetView guid="{B8E02330-2419-4DE6-AD01-7ACC7A5D18DD}" scale="75" topLeftCell="A88">
      <selection activeCell="C98" sqref="C98"/>
      <pageMargins left="0.75" right="0.75" top="1" bottom="1" header="0.5" footer="0.5"/>
      <pageSetup orientation="portrait" r:id="rId1"/>
      <headerFooter alignWithMargins="0"/>
    </customSheetView>
  </customSheetViews>
  <mergeCells count="145">
    <mergeCell ref="H178:I178"/>
    <mergeCell ref="H179:I179"/>
    <mergeCell ref="H180:I180"/>
    <mergeCell ref="H181:I181"/>
    <mergeCell ref="H173:I173"/>
    <mergeCell ref="H174:I174"/>
    <mergeCell ref="H175:I175"/>
    <mergeCell ref="H176:I176"/>
    <mergeCell ref="H177:I177"/>
    <mergeCell ref="H168:I168"/>
    <mergeCell ref="H169:I169"/>
    <mergeCell ref="H170:I170"/>
    <mergeCell ref="H171:I171"/>
    <mergeCell ref="H172:I172"/>
    <mergeCell ref="H163:I163"/>
    <mergeCell ref="H164:I164"/>
    <mergeCell ref="H165:I165"/>
    <mergeCell ref="H166:I166"/>
    <mergeCell ref="H167:I167"/>
    <mergeCell ref="H158:I158"/>
    <mergeCell ref="H159:I159"/>
    <mergeCell ref="H160:I160"/>
    <mergeCell ref="H161:I161"/>
    <mergeCell ref="H162:I162"/>
    <mergeCell ref="H153:I153"/>
    <mergeCell ref="H154:I154"/>
    <mergeCell ref="H155:I155"/>
    <mergeCell ref="H156:I156"/>
    <mergeCell ref="H157:I157"/>
    <mergeCell ref="H148:I148"/>
    <mergeCell ref="H149:I149"/>
    <mergeCell ref="H150:I150"/>
    <mergeCell ref="H151:I151"/>
    <mergeCell ref="H152:I152"/>
    <mergeCell ref="H143:I143"/>
    <mergeCell ref="H144:I144"/>
    <mergeCell ref="H145:I145"/>
    <mergeCell ref="H146:I146"/>
    <mergeCell ref="H147:I147"/>
    <mergeCell ref="H138:I138"/>
    <mergeCell ref="H139:I139"/>
    <mergeCell ref="H140:I140"/>
    <mergeCell ref="H141:I141"/>
    <mergeCell ref="H142:I142"/>
    <mergeCell ref="H133:I133"/>
    <mergeCell ref="H134:I134"/>
    <mergeCell ref="H135:I135"/>
    <mergeCell ref="H136:I136"/>
    <mergeCell ref="H137:I137"/>
    <mergeCell ref="I56:I61"/>
    <mergeCell ref="I68:I74"/>
    <mergeCell ref="I75:I81"/>
    <mergeCell ref="H128:I128"/>
    <mergeCell ref="I96:I100"/>
    <mergeCell ref="H129:I129"/>
    <mergeCell ref="H130:I130"/>
    <mergeCell ref="H131:I131"/>
    <mergeCell ref="H132:I132"/>
    <mergeCell ref="H123:I123"/>
    <mergeCell ref="H124:I124"/>
    <mergeCell ref="H125:I125"/>
    <mergeCell ref="H126:I126"/>
    <mergeCell ref="H127:I127"/>
    <mergeCell ref="A119:B121"/>
    <mergeCell ref="D115:F115"/>
    <mergeCell ref="A115:C118"/>
    <mergeCell ref="A27:A32"/>
    <mergeCell ref="B27:B32"/>
    <mergeCell ref="B108:B112"/>
    <mergeCell ref="C121:E121"/>
    <mergeCell ref="H101:H107"/>
    <mergeCell ref="D117:F117"/>
    <mergeCell ref="D118:F118"/>
    <mergeCell ref="C120:E120"/>
    <mergeCell ref="D116:F116"/>
    <mergeCell ref="H108:H112"/>
    <mergeCell ref="C119:H119"/>
    <mergeCell ref="H120:I120"/>
    <mergeCell ref="H121:I121"/>
    <mergeCell ref="A114:H114"/>
    <mergeCell ref="H33:H37"/>
    <mergeCell ref="I82:I87"/>
    <mergeCell ref="I88:I91"/>
    <mergeCell ref="I92:I95"/>
    <mergeCell ref="I101:I107"/>
    <mergeCell ref="I108:I112"/>
    <mergeCell ref="I44:I49"/>
    <mergeCell ref="H12:H20"/>
    <mergeCell ref="H4:H10"/>
    <mergeCell ref="A108:A112"/>
    <mergeCell ref="A44:A49"/>
    <mergeCell ref="A88:A91"/>
    <mergeCell ref="A92:A95"/>
    <mergeCell ref="B82:B87"/>
    <mergeCell ref="A82:A87"/>
    <mergeCell ref="B38:B43"/>
    <mergeCell ref="A56:A61"/>
    <mergeCell ref="B75:B81"/>
    <mergeCell ref="B44:B49"/>
    <mergeCell ref="A75:A81"/>
    <mergeCell ref="A50:A55"/>
    <mergeCell ref="A38:A43"/>
    <mergeCell ref="A96:A100"/>
    <mergeCell ref="H62:H67"/>
    <mergeCell ref="A101:A107"/>
    <mergeCell ref="B101:B107"/>
    <mergeCell ref="B33:B37"/>
    <mergeCell ref="B96:B100"/>
    <mergeCell ref="H96:H100"/>
    <mergeCell ref="B62:B67"/>
    <mergeCell ref="B92:B95"/>
    <mergeCell ref="H38:H43"/>
    <mergeCell ref="H88:H91"/>
    <mergeCell ref="H82:H87"/>
    <mergeCell ref="H50:H55"/>
    <mergeCell ref="H68:H74"/>
    <mergeCell ref="H75:H81"/>
    <mergeCell ref="B88:B91"/>
    <mergeCell ref="H56:H61"/>
    <mergeCell ref="B50:B55"/>
    <mergeCell ref="B56:B61"/>
    <mergeCell ref="H21:H26"/>
    <mergeCell ref="H92:H95"/>
    <mergeCell ref="E1:I1"/>
    <mergeCell ref="B68:B74"/>
    <mergeCell ref="A1:B1"/>
    <mergeCell ref="B21:B26"/>
    <mergeCell ref="I4:I10"/>
    <mergeCell ref="I12:I20"/>
    <mergeCell ref="I21:I26"/>
    <mergeCell ref="I27:I32"/>
    <mergeCell ref="I33:I37"/>
    <mergeCell ref="I62:I67"/>
    <mergeCell ref="I38:I43"/>
    <mergeCell ref="A12:A20"/>
    <mergeCell ref="A33:A37"/>
    <mergeCell ref="A21:A26"/>
    <mergeCell ref="A4:A10"/>
    <mergeCell ref="H27:H32"/>
    <mergeCell ref="A68:A74"/>
    <mergeCell ref="I50:I55"/>
    <mergeCell ref="B12:B20"/>
    <mergeCell ref="B4:B10"/>
    <mergeCell ref="A62:A67"/>
    <mergeCell ref="H44:H49"/>
  </mergeCells>
  <phoneticPr fontId="3" type="noConversion"/>
  <pageMargins left="0.75" right="0.75" top="1" bottom="1" header="0.5" footer="0.5"/>
  <pageSetup orientation="portrait" r:id="rId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3"/>
  <dimension ref="A1:J144"/>
  <sheetViews>
    <sheetView topLeftCell="A46" zoomScaleNormal="100" workbookViewId="0">
      <selection activeCell="G48" sqref="G48"/>
    </sheetView>
  </sheetViews>
  <sheetFormatPr defaultColWidth="9.33203125" defaultRowHeight="16.5" x14ac:dyDescent="0.2"/>
  <cols>
    <col min="1" max="1" width="5.83203125" style="10" customWidth="1"/>
    <col min="2" max="2" width="18.83203125" style="2" customWidth="1"/>
    <col min="3" max="3" width="75.83203125" style="2" customWidth="1"/>
    <col min="4" max="6" width="7.83203125" style="63" customWidth="1"/>
    <col min="7" max="7" width="9.6640625" style="62" customWidth="1"/>
    <col min="8" max="8" width="64.83203125" style="2" customWidth="1"/>
    <col min="9" max="9" width="9.83203125" style="2" customWidth="1"/>
    <col min="10" max="10" width="9.33203125" style="56"/>
    <col min="11" max="16384" width="9.33203125" style="2"/>
  </cols>
  <sheetData>
    <row r="1" spans="1:10" s="1412" customFormat="1" ht="69" customHeight="1" thickBot="1" x14ac:dyDescent="0.25">
      <c r="A1" s="1868" t="s">
        <v>2434</v>
      </c>
      <c r="B1" s="1869"/>
      <c r="C1" s="1418" t="s">
        <v>2272</v>
      </c>
      <c r="D1" s="1417" t="s">
        <v>1067</v>
      </c>
      <c r="E1" s="1929"/>
      <c r="F1" s="1930"/>
      <c r="G1" s="1930"/>
      <c r="H1" s="1930"/>
      <c r="I1" s="1930"/>
      <c r="J1" s="247"/>
    </row>
    <row r="2" spans="1:10" s="56" customFormat="1" ht="36" customHeight="1" thickBot="1" x14ac:dyDescent="0.25">
      <c r="A2" s="833" t="s">
        <v>88</v>
      </c>
      <c r="B2" s="833" t="s">
        <v>1192</v>
      </c>
      <c r="C2" s="862" t="s">
        <v>1164</v>
      </c>
      <c r="D2" s="833" t="s">
        <v>45</v>
      </c>
      <c r="E2" s="904" t="s">
        <v>1188</v>
      </c>
      <c r="F2" s="905" t="s">
        <v>1189</v>
      </c>
      <c r="G2" s="906" t="s">
        <v>2558</v>
      </c>
      <c r="H2" s="833" t="s">
        <v>1117</v>
      </c>
      <c r="I2" s="895" t="s">
        <v>2427</v>
      </c>
    </row>
    <row r="3" spans="1:10" ht="21" customHeight="1" thickBot="1" x14ac:dyDescent="0.25">
      <c r="A3" s="1978" t="str">
        <f>OF!A126</f>
        <v>OF26</v>
      </c>
      <c r="B3" s="1968" t="str">
        <f>OF!B126</f>
        <v>Internal Flow Distance (Path Length)</v>
      </c>
      <c r="C3" s="411" t="str">
        <f>OF!C126</f>
        <v xml:space="preserve">The horizontal flow distance from the wetland's inlet to outlet is: </v>
      </c>
      <c r="D3" s="186"/>
      <c r="E3" s="205"/>
      <c r="F3" s="189"/>
      <c r="G3" s="328">
        <f>MAX(F4:F9)/MAX(E4:E9)</f>
        <v>0</v>
      </c>
      <c r="H3" s="1669" t="s">
        <v>1004</v>
      </c>
      <c r="I3" s="1669" t="s">
        <v>1021</v>
      </c>
    </row>
    <row r="4" spans="1:10" ht="15" customHeight="1" x14ac:dyDescent="0.2">
      <c r="A4" s="1979"/>
      <c r="B4" s="1969"/>
      <c r="C4" s="1327" t="str">
        <f>OF!C127</f>
        <v>&lt;10 m.</v>
      </c>
      <c r="D4" s="131">
        <f>OF!D127</f>
        <v>0</v>
      </c>
      <c r="E4" s="203">
        <v>1</v>
      </c>
      <c r="F4" s="187">
        <f t="shared" ref="F4:F9" si="0">D4*E4</f>
        <v>0</v>
      </c>
      <c r="G4" s="384"/>
      <c r="H4" s="1670"/>
      <c r="I4" s="1670"/>
    </row>
    <row r="5" spans="1:10" ht="15" customHeight="1" x14ac:dyDescent="0.2">
      <c r="A5" s="1979"/>
      <c r="B5" s="1969"/>
      <c r="C5" s="1327" t="str">
        <f>OF!C128</f>
        <v>10 - 50 m.</v>
      </c>
      <c r="D5" s="131">
        <f>OF!D128</f>
        <v>0</v>
      </c>
      <c r="E5" s="203">
        <v>2</v>
      </c>
      <c r="F5" s="187">
        <f t="shared" si="0"/>
        <v>0</v>
      </c>
      <c r="G5" s="384"/>
      <c r="H5" s="1670"/>
      <c r="I5" s="1670"/>
    </row>
    <row r="6" spans="1:10" ht="15" customHeight="1" x14ac:dyDescent="0.2">
      <c r="A6" s="1979"/>
      <c r="B6" s="1969"/>
      <c r="C6" s="1327" t="str">
        <f>OF!C129</f>
        <v>50 - 100 m.</v>
      </c>
      <c r="D6" s="131">
        <f>OF!D129</f>
        <v>0</v>
      </c>
      <c r="E6" s="203">
        <v>3</v>
      </c>
      <c r="F6" s="187">
        <f t="shared" si="0"/>
        <v>0</v>
      </c>
      <c r="G6" s="384"/>
      <c r="H6" s="1670"/>
      <c r="I6" s="1670"/>
    </row>
    <row r="7" spans="1:10" ht="15" customHeight="1" x14ac:dyDescent="0.2">
      <c r="A7" s="1979"/>
      <c r="B7" s="1969"/>
      <c r="C7" s="1327" t="str">
        <f>OF!C130</f>
        <v>100 - 1000 m.</v>
      </c>
      <c r="D7" s="131">
        <f>OF!D130</f>
        <v>0</v>
      </c>
      <c r="E7" s="203">
        <v>4</v>
      </c>
      <c r="F7" s="187">
        <f t="shared" si="0"/>
        <v>0</v>
      </c>
      <c r="G7" s="384"/>
      <c r="H7" s="1670"/>
      <c r="I7" s="1670"/>
    </row>
    <row r="8" spans="1:10" ht="15" customHeight="1" x14ac:dyDescent="0.2">
      <c r="A8" s="1979"/>
      <c r="B8" s="1969"/>
      <c r="C8" s="1327" t="str">
        <f>OF!C131</f>
        <v>1- 2 km.</v>
      </c>
      <c r="D8" s="131">
        <f>OF!D131</f>
        <v>0</v>
      </c>
      <c r="E8" s="203">
        <v>5</v>
      </c>
      <c r="F8" s="187">
        <f t="shared" si="0"/>
        <v>0</v>
      </c>
      <c r="G8" s="384"/>
      <c r="H8" s="1670"/>
      <c r="I8" s="1670"/>
    </row>
    <row r="9" spans="1:10" ht="15" customHeight="1" thickBot="1" x14ac:dyDescent="0.25">
      <c r="A9" s="1980"/>
      <c r="B9" s="1970"/>
      <c r="C9" s="1328" t="str">
        <f>OF!C132</f>
        <v>&gt;2 km, or wetland lacks an inlet and outlet.</v>
      </c>
      <c r="D9" s="149">
        <f>OF!D132</f>
        <v>0</v>
      </c>
      <c r="E9" s="204">
        <v>7</v>
      </c>
      <c r="F9" s="188">
        <f t="shared" si="0"/>
        <v>0</v>
      </c>
      <c r="G9" s="385"/>
      <c r="H9" s="1671"/>
      <c r="I9" s="1671"/>
    </row>
    <row r="10" spans="1:10" ht="114" customHeight="1" thickBot="1" x14ac:dyDescent="0.25">
      <c r="A10" s="336" t="str">
        <f>OF!A133</f>
        <v>OF27</v>
      </c>
      <c r="B10" s="60" t="str">
        <f>OF!B133</f>
        <v>Growing Degree Days</v>
      </c>
      <c r="C10" s="336" t="str">
        <f>OF!C133</f>
        <v>In Google Earth, open the KMZ file that accompanies this calculator, called NB-PEI_GrowingDegreeDays. Place your cursor over the AA and left-click. From the pop-up, enter the GRIDCODE in the next column.</v>
      </c>
      <c r="D10" s="1413">
        <f>OF!D133</f>
        <v>0</v>
      </c>
      <c r="E10" s="1129"/>
      <c r="F10" s="360"/>
      <c r="G10" s="253" t="str">
        <f>IF((GrowD&lt;1),"",(GrowD-1305)/1328)</f>
        <v/>
      </c>
      <c r="H10" s="36" t="s">
        <v>1453</v>
      </c>
      <c r="I10" s="120" t="s">
        <v>1020</v>
      </c>
    </row>
    <row r="11" spans="1:10" ht="21" customHeight="1" thickBot="1" x14ac:dyDescent="0.25">
      <c r="A11" s="1893" t="str">
        <f>F!A4</f>
        <v>F1</v>
      </c>
      <c r="B11" s="1669" t="str">
        <f>F!B4</f>
        <v>Wetland Type</v>
      </c>
      <c r="C11" s="3" t="str">
        <f>F!C4</f>
        <v>Follow the key below and mark the ONE row that best describes MOST of the vegetated part of the AA:</v>
      </c>
      <c r="D11" s="205"/>
      <c r="E11" s="186"/>
      <c r="F11" s="186"/>
      <c r="G11" s="328">
        <f>MAX(F12:F17)/MAX(E12:E17)</f>
        <v>0</v>
      </c>
      <c r="H11" s="1670" t="s">
        <v>1780</v>
      </c>
      <c r="I11" s="1669" t="s">
        <v>1022</v>
      </c>
    </row>
    <row r="12" spans="1:10" ht="57" customHeight="1" thickBot="1" x14ac:dyDescent="0.25">
      <c r="A12" s="1893"/>
      <c r="B12" s="1670"/>
      <c r="C12" s="3" t="str">
        <f>F!C5</f>
        <v>A. Moss and/or lichen cover more than 25%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v>
      </c>
      <c r="D12" s="203"/>
      <c r="E12" s="187"/>
      <c r="F12" s="187"/>
      <c r="G12" s="391"/>
      <c r="H12" s="1670"/>
      <c r="I12" s="1670"/>
    </row>
    <row r="13" spans="1:10" ht="76.5" x14ac:dyDescent="0.2">
      <c r="A13" s="1893"/>
      <c r="B13" s="1670"/>
      <c r="C13" s="14" t="str">
        <f>F!C6</f>
        <v>A1.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(Carex rariflora). Wetland surface and surrounding landscape are seldom sloping and wetland often is domed (convex). Inlet and outlet channels are usually absent.  If known, pH of peat is &lt;4.0.</v>
      </c>
      <c r="D13" s="33">
        <f>F!D6</f>
        <v>0</v>
      </c>
      <c r="E13" s="187">
        <v>1</v>
      </c>
      <c r="F13" s="187">
        <f>D13*E13</f>
        <v>0</v>
      </c>
      <c r="G13" s="391"/>
      <c r="H13" s="1670"/>
      <c r="I13" s="1670"/>
    </row>
    <row r="14" spans="1:10" ht="57" customHeight="1" thickBot="1" x14ac:dyDescent="0.25">
      <c r="A14" s="1893"/>
      <c r="B14" s="1670"/>
      <c r="C14" s="241" t="str">
        <f>F!C7</f>
        <v>A2.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v>
      </c>
      <c r="D14" s="33">
        <f>F!D7</f>
        <v>0</v>
      </c>
      <c r="E14" s="187">
        <v>4</v>
      </c>
      <c r="F14" s="187">
        <f>D14*E14</f>
        <v>0</v>
      </c>
      <c r="G14" s="391"/>
      <c r="H14" s="1670"/>
      <c r="I14" s="1670"/>
    </row>
    <row r="15" spans="1:10" ht="30" customHeight="1" thickBot="1" x14ac:dyDescent="0.25">
      <c r="A15" s="1893"/>
      <c r="B15" s="1670"/>
      <c r="C15" s="3" t="str">
        <f>F!C8</f>
        <v>B. Moss and/or lichen cover less than 25% of the ground. Soil is mineral or decomposed organic (muck). Choose between B1 and B2 and mark the choice with a 1 in their adjoining column:</v>
      </c>
      <c r="D15" s="203"/>
      <c r="E15" s="187"/>
      <c r="F15" s="187"/>
      <c r="G15" s="391"/>
      <c r="H15" s="1670"/>
      <c r="I15" s="1670"/>
    </row>
    <row r="16" spans="1:10" ht="27" customHeight="1" x14ac:dyDescent="0.2">
      <c r="A16" s="1893"/>
      <c r="B16" s="1670"/>
      <c r="C16" s="14" t="str">
        <f>F!C9</f>
        <v>B1. Trees and shrubs taller than 1 m comprise more than 25% of the vegetated cover. Surface water is mostly absent or inundates the vegetation only seasonally (e.g., vernal pools or floodplain).</v>
      </c>
      <c r="D16" s="33">
        <f>F!D9</f>
        <v>0</v>
      </c>
      <c r="E16" s="187">
        <v>2</v>
      </c>
      <c r="F16" s="187">
        <f>D16*E16</f>
        <v>0</v>
      </c>
      <c r="G16" s="391"/>
      <c r="H16" s="1670"/>
      <c r="I16" s="1670"/>
    </row>
    <row r="17" spans="1:9" ht="42" customHeight="1" thickBot="1" x14ac:dyDescent="0.25">
      <c r="A17" s="1893"/>
      <c r="B17" s="1671"/>
      <c r="C17" s="241" t="str">
        <f>F!C10</f>
        <v>B2. Not B1.  Tree &amp; tall shrubs comprise less than than 25% of the vegetated cover.  Vegetation is mostly herbaceous, e.g., cattail, bulrush, burreed, pond lily, horsetail. Surface water may be extensive and fluctuates seasonally, being either persistent or drying up partly or entirely.</v>
      </c>
      <c r="D17" s="33">
        <f>F!D10</f>
        <v>0</v>
      </c>
      <c r="E17" s="190">
        <v>3</v>
      </c>
      <c r="F17" s="190">
        <f>D17*E17</f>
        <v>0</v>
      </c>
      <c r="G17" s="391"/>
      <c r="H17" s="1670"/>
      <c r="I17" s="1671"/>
    </row>
    <row r="18" spans="1:9" ht="30" customHeight="1" thickBot="1" x14ac:dyDescent="0.25">
      <c r="A18" s="1693" t="str">
        <f>F!A51</f>
        <v>F9</v>
      </c>
      <c r="B18" s="1693" t="str">
        <f>F!B51</f>
        <v>N Fixers</v>
      </c>
      <c r="C18" s="3" t="str">
        <f>F!C51</f>
        <v>The percentage of the AA's vegetated cover that contains nitrogen-fixing plants (e.g., alder, sweetgale, clover, lupine, alfalfa, other legumes) is:</v>
      </c>
      <c r="D18" s="191"/>
      <c r="E18" s="191"/>
      <c r="F18" s="192"/>
      <c r="G18" s="327">
        <f>MAX(F19:F23)/MAX(E19:E23)</f>
        <v>0</v>
      </c>
      <c r="H18" s="1971" t="s">
        <v>595</v>
      </c>
      <c r="I18" s="1670" t="s">
        <v>95</v>
      </c>
    </row>
    <row r="19" spans="1:9" ht="15" customHeight="1" x14ac:dyDescent="0.2">
      <c r="A19" s="1696"/>
      <c r="B19" s="1696"/>
      <c r="C19" s="14" t="str">
        <f>F!C52</f>
        <v>&lt;1% or none.</v>
      </c>
      <c r="D19" s="129">
        <f>F!D52</f>
        <v>0</v>
      </c>
      <c r="E19" s="187">
        <v>0</v>
      </c>
      <c r="F19" s="187">
        <f>D19*E19</f>
        <v>0</v>
      </c>
      <c r="G19" s="383"/>
      <c r="H19" s="1938"/>
      <c r="I19" s="1670"/>
    </row>
    <row r="20" spans="1:9" ht="15" customHeight="1" x14ac:dyDescent="0.2">
      <c r="A20" s="1696"/>
      <c r="B20" s="1696"/>
      <c r="C20" s="14" t="str">
        <f>F!C53</f>
        <v>1-25% of the vegetated cover, in the AA or along its water edge (whichever has more).</v>
      </c>
      <c r="D20" s="129">
        <f>F!D53</f>
        <v>0</v>
      </c>
      <c r="E20" s="187">
        <v>1</v>
      </c>
      <c r="F20" s="187">
        <f>D20*E20</f>
        <v>0</v>
      </c>
      <c r="G20" s="384"/>
      <c r="H20" s="1938"/>
      <c r="I20" s="1670"/>
    </row>
    <row r="21" spans="1:9" ht="15" customHeight="1" x14ac:dyDescent="0.2">
      <c r="A21" s="1696"/>
      <c r="B21" s="1696"/>
      <c r="C21" s="14" t="str">
        <f>F!C54</f>
        <v>25-50% of the vegetated cover, in the AA or along its water edge (whichever has more).</v>
      </c>
      <c r="D21" s="129">
        <f>F!D54</f>
        <v>0</v>
      </c>
      <c r="E21" s="187">
        <v>2</v>
      </c>
      <c r="F21" s="187">
        <f>D21*E21</f>
        <v>0</v>
      </c>
      <c r="G21" s="384"/>
      <c r="H21" s="1938"/>
      <c r="I21" s="1670"/>
    </row>
    <row r="22" spans="1:9" ht="15" customHeight="1" x14ac:dyDescent="0.2">
      <c r="A22" s="1696"/>
      <c r="B22" s="1696"/>
      <c r="C22" s="14" t="str">
        <f>F!C55</f>
        <v>50-75% of the vegetated cover, in the AA or along its water edge (whichever has more).</v>
      </c>
      <c r="D22" s="129">
        <f>F!D55</f>
        <v>0</v>
      </c>
      <c r="E22" s="187">
        <v>3</v>
      </c>
      <c r="F22" s="187">
        <f>D22*E22</f>
        <v>0</v>
      </c>
      <c r="G22" s="384"/>
      <c r="H22" s="1938"/>
      <c r="I22" s="1670"/>
    </row>
    <row r="23" spans="1:9" ht="15" customHeight="1" thickBot="1" x14ac:dyDescent="0.25">
      <c r="A23" s="1712"/>
      <c r="B23" s="1712"/>
      <c r="C23" s="381" t="str">
        <f>F!C56</f>
        <v>&gt;75% of the vegetated cover, in the AA or along its water edge (whichever has more).</v>
      </c>
      <c r="D23" s="151">
        <f>F!D56</f>
        <v>0</v>
      </c>
      <c r="E23" s="188">
        <v>4</v>
      </c>
      <c r="F23" s="188">
        <f>D23*E23</f>
        <v>0</v>
      </c>
      <c r="G23" s="385"/>
      <c r="H23" s="1972"/>
      <c r="I23" s="1671"/>
    </row>
    <row r="24" spans="1:9" ht="30" customHeight="1" thickBot="1" x14ac:dyDescent="0.25">
      <c r="A24" s="1713" t="str">
        <f>F!A63</f>
        <v>F11</v>
      </c>
      <c r="B24" s="1693" t="str">
        <f>F!B63</f>
        <v>% Bare Ground &amp; Thatch</v>
      </c>
      <c r="C24" s="240" t="str">
        <f>F!C63</f>
        <v>Consider the parts of the AA that lack surface water at the driest time of the growing season. Viewed from directly above the ground layer, the predominant condition in those areas at that time is:</v>
      </c>
      <c r="D24" s="191"/>
      <c r="E24" s="191"/>
      <c r="F24" s="192"/>
      <c r="G24" s="327">
        <f>MAX(F25:F28)/MAX(E25:E28)</f>
        <v>0</v>
      </c>
      <c r="H24" s="1971" t="s">
        <v>1723</v>
      </c>
      <c r="I24" s="1669" t="s">
        <v>96</v>
      </c>
    </row>
    <row r="25" spans="1:9" ht="42" customHeight="1" x14ac:dyDescent="0.2">
      <c r="A25" s="1714"/>
      <c r="B25" s="1696"/>
      <c r="C25" s="14" t="str">
        <f>F!C64</f>
        <v>Little or no (&lt;5%) bare ground is visible between erect stems or under canopy anywhere in the vegetated AA. Ground is extensively blanketed by dense thatch, moss, lichens, graminoids with great stem densities, or plants with ground-hugging foliage. </v>
      </c>
      <c r="D25" s="129">
        <f>F!D64</f>
        <v>0</v>
      </c>
      <c r="E25" s="187">
        <v>3</v>
      </c>
      <c r="F25" s="187">
        <f>D25*E25</f>
        <v>0</v>
      </c>
      <c r="G25" s="383"/>
      <c r="H25" s="1938"/>
      <c r="I25" s="1670"/>
    </row>
    <row r="26" spans="1:9" ht="27" customHeight="1" x14ac:dyDescent="0.2">
      <c r="A26" s="1714"/>
      <c r="B26" s="1696"/>
      <c r="C26" s="4" t="str">
        <f>F!C65</f>
        <v>Slightly bare ground (5-20% bare between plants) is visible in places, but those areas comprise less than 5% of the unflooded parts of the AA.</v>
      </c>
      <c r="D26" s="33">
        <f>F!D65</f>
        <v>0</v>
      </c>
      <c r="E26" s="187">
        <v>2</v>
      </c>
      <c r="F26" s="187">
        <f>D26*E26</f>
        <v>0</v>
      </c>
      <c r="G26" s="384"/>
      <c r="H26" s="1938"/>
      <c r="I26" s="1670"/>
    </row>
    <row r="27" spans="1:9" ht="27" customHeight="1" x14ac:dyDescent="0.2">
      <c r="A27" s="1714"/>
      <c r="B27" s="1696"/>
      <c r="C27" s="4" t="str">
        <f>F!C66</f>
        <v>Much bare ground (20-50% bare between plants) is visible in places, and those areas comprise more than 5% of the unflooded parts of the AA. </v>
      </c>
      <c r="D27" s="33">
        <f>F!D66</f>
        <v>0</v>
      </c>
      <c r="E27" s="187">
        <v>1</v>
      </c>
      <c r="F27" s="187">
        <f>D27*E27</f>
        <v>0</v>
      </c>
      <c r="G27" s="384"/>
      <c r="H27" s="1938"/>
      <c r="I27" s="1670"/>
    </row>
    <row r="28" spans="1:9" ht="15" customHeight="1" thickBot="1" x14ac:dyDescent="0.25">
      <c r="A28" s="1715"/>
      <c r="B28" s="1712"/>
      <c r="C28" s="85" t="str">
        <f>F!C67</f>
        <v>Other conditions.</v>
      </c>
      <c r="D28" s="84">
        <f>F!D67</f>
        <v>0</v>
      </c>
      <c r="E28" s="188">
        <v>0</v>
      </c>
      <c r="F28" s="188">
        <f>D28*E28</f>
        <v>0</v>
      </c>
      <c r="G28" s="385"/>
      <c r="H28" s="1972"/>
      <c r="I28" s="1671"/>
    </row>
    <row r="29" spans="1:9" ht="45" customHeight="1" thickBot="1" x14ac:dyDescent="0.25">
      <c r="A29" s="1853" t="str">
        <f>F!A77</f>
        <v>F14</v>
      </c>
      <c r="B29" s="1669" t="str">
        <f>F!B77</f>
        <v>Soil Texture</v>
      </c>
      <c r="C29" s="240" t="str">
        <f>F!C77</f>
        <v xml:space="preserve">In parts of the AA that lack persistent water, the texture of soil in the uppermost layer is mostly:  [To determine this, use a trowel to check in at least 3 widely spaced locations, and use the soil texture key (in Appendix A of the Manual).] </v>
      </c>
      <c r="D29" s="191"/>
      <c r="E29" s="191"/>
      <c r="F29" s="192"/>
      <c r="G29" s="400">
        <f>MAX(F30:F34)/MAX(E30:E34)</f>
        <v>0</v>
      </c>
      <c r="H29" s="1937" t="s">
        <v>953</v>
      </c>
      <c r="I29" s="1669" t="s">
        <v>97</v>
      </c>
    </row>
    <row r="30" spans="1:9" ht="27" customHeight="1" x14ac:dyDescent="0.2">
      <c r="A30" s="1853"/>
      <c r="B30" s="1670"/>
      <c r="C30" s="14" t="str">
        <f>F!C78</f>
        <v>Loamy: soils that may contain a little fine grit and do not make a "ribbon" longer than 2 cm when moistened, rolled, squeezed, and extended between thumb and forefinger.</v>
      </c>
      <c r="D30" s="129">
        <f>F!D78</f>
        <v>0</v>
      </c>
      <c r="E30" s="187">
        <v>2</v>
      </c>
      <c r="F30" s="187">
        <f>D30*E30</f>
        <v>0</v>
      </c>
      <c r="G30" s="461"/>
      <c r="H30" s="1938"/>
      <c r="I30" s="1670"/>
    </row>
    <row r="31" spans="1:9" ht="27" customHeight="1" x14ac:dyDescent="0.2">
      <c r="A31" s="1853"/>
      <c r="B31" s="1670"/>
      <c r="C31" s="4" t="str">
        <f>F!C79</f>
        <v>Fines: includes silt, clay, silt, soils that make a ribbon longer than 2 cm when moistened, rolled, squeezed, and extended between thumb and forefinger.</v>
      </c>
      <c r="D31" s="33">
        <f>F!D79</f>
        <v>0</v>
      </c>
      <c r="E31" s="187">
        <v>1</v>
      </c>
      <c r="F31" s="187">
        <f>D31*E31</f>
        <v>0</v>
      </c>
      <c r="G31" s="462"/>
      <c r="H31" s="1938"/>
      <c r="I31" s="1670"/>
    </row>
    <row r="32" spans="1:9" ht="15" customHeight="1" x14ac:dyDescent="0.2">
      <c r="A32" s="1853"/>
      <c r="B32" s="1670"/>
      <c r="C32" s="4" t="str">
        <f>F!C80</f>
        <v>Deep Peat, to 40 cm depth or greater.</v>
      </c>
      <c r="D32" s="33">
        <f>F!D80</f>
        <v>0</v>
      </c>
      <c r="E32" s="187">
        <v>3</v>
      </c>
      <c r="F32" s="187">
        <f>D32*E32</f>
        <v>0</v>
      </c>
      <c r="G32" s="462"/>
      <c r="H32" s="1938"/>
      <c r="I32" s="1670"/>
    </row>
    <row r="33" spans="1:9" ht="15" customHeight="1" x14ac:dyDescent="0.2">
      <c r="A33" s="1853"/>
      <c r="B33" s="1670"/>
      <c r="C33" s="4" t="str">
        <f>F!C81</f>
        <v xml:space="preserve">Shallow Peat or organic &lt;40 cm deep. </v>
      </c>
      <c r="D33" s="33">
        <f>F!D81</f>
        <v>0</v>
      </c>
      <c r="E33" s="187">
        <v>4</v>
      </c>
      <c r="F33" s="187">
        <f>D33*E33</f>
        <v>0</v>
      </c>
      <c r="G33" s="606"/>
      <c r="H33" s="1938"/>
      <c r="I33" s="1670"/>
    </row>
    <row r="34" spans="1:9" ht="27" customHeight="1" thickBot="1" x14ac:dyDescent="0.25">
      <c r="A34" s="1853"/>
      <c r="B34" s="1671"/>
      <c r="C34" s="85" t="str">
        <f>F!C82</f>
        <v>Coarse: includes sand, loamy sand, gravel, cobble, soils that do not make a ribbon when moistened, rolled, squeezed, and extended between thumb and forefinger.</v>
      </c>
      <c r="D34" s="84">
        <f>F!D82</f>
        <v>0</v>
      </c>
      <c r="E34" s="188">
        <v>0</v>
      </c>
      <c r="F34" s="188">
        <f>D34*E34</f>
        <v>0</v>
      </c>
      <c r="G34" s="463"/>
      <c r="H34" s="1939"/>
      <c r="I34" s="1671"/>
    </row>
    <row r="35" spans="1:9" ht="30" customHeight="1" thickBot="1" x14ac:dyDescent="0.25">
      <c r="A35" s="1721" t="str">
        <f>F!A140</f>
        <v>F27</v>
      </c>
      <c r="B35" s="1669" t="str">
        <f>F!B140</f>
        <v>% of AA that is Flooded Only Seasonally</v>
      </c>
      <c r="C35" s="240" t="str">
        <f>F!C140</f>
        <v>The percentage of the AA's area that is between the annual high water and the annual low water (surface water) is:</v>
      </c>
      <c r="D35" s="191"/>
      <c r="E35" s="191"/>
      <c r="F35" s="192"/>
      <c r="G35" s="327">
        <f>IF((AllSat1&gt;0),"", MAX(F36:F40)/MAX(E36:E40))</f>
        <v>0</v>
      </c>
      <c r="H35" s="1971" t="s">
        <v>1839</v>
      </c>
      <c r="I35" s="1669" t="s">
        <v>507</v>
      </c>
    </row>
    <row r="36" spans="1:9" ht="15" customHeight="1" x14ac:dyDescent="0.2">
      <c r="A36" s="1703"/>
      <c r="B36" s="1670"/>
      <c r="C36" s="222" t="str">
        <f>F!C141</f>
        <v>None, or &lt;0.01 hectare and &lt;1% of the AA.  SKIP to F29.</v>
      </c>
      <c r="D36" s="183">
        <f>F!D141</f>
        <v>0</v>
      </c>
      <c r="E36" s="187">
        <v>0</v>
      </c>
      <c r="F36" s="187">
        <f>D36*E36</f>
        <v>0</v>
      </c>
      <c r="G36" s="383"/>
      <c r="H36" s="1938"/>
      <c r="I36" s="1670"/>
    </row>
    <row r="37" spans="1:9" ht="15" customHeight="1" x14ac:dyDescent="0.2">
      <c r="A37" s="1703"/>
      <c r="B37" s="1670"/>
      <c r="C37" s="241" t="str">
        <f>F!C142</f>
        <v>1-20% of the AA, or &lt;1% but &gt;0.01 ha.</v>
      </c>
      <c r="D37" s="128">
        <f>F!D142</f>
        <v>0</v>
      </c>
      <c r="E37" s="187">
        <v>1</v>
      </c>
      <c r="F37" s="187">
        <f>D37*E37</f>
        <v>0</v>
      </c>
      <c r="G37" s="384"/>
      <c r="H37" s="1938"/>
      <c r="I37" s="1670"/>
    </row>
    <row r="38" spans="1:9" ht="15" customHeight="1" x14ac:dyDescent="0.2">
      <c r="A38" s="1703"/>
      <c r="B38" s="1670"/>
      <c r="C38" s="241" t="str">
        <f>F!C143</f>
        <v>20-50% of the AA.</v>
      </c>
      <c r="D38" s="128">
        <f>F!D143</f>
        <v>0</v>
      </c>
      <c r="E38" s="187">
        <v>2</v>
      </c>
      <c r="F38" s="187">
        <f>D38*E38</f>
        <v>0</v>
      </c>
      <c r="G38" s="384"/>
      <c r="H38" s="1938"/>
      <c r="I38" s="1670"/>
    </row>
    <row r="39" spans="1:9" ht="15" customHeight="1" x14ac:dyDescent="0.2">
      <c r="A39" s="1703"/>
      <c r="B39" s="1670"/>
      <c r="C39" s="241" t="str">
        <f>F!C144</f>
        <v>50-95% of the AA.</v>
      </c>
      <c r="D39" s="128">
        <f>F!D144</f>
        <v>0</v>
      </c>
      <c r="E39" s="187">
        <v>3</v>
      </c>
      <c r="F39" s="187">
        <f>D39*E39</f>
        <v>0</v>
      </c>
      <c r="G39" s="384"/>
      <c r="H39" s="1938"/>
      <c r="I39" s="1670"/>
    </row>
    <row r="40" spans="1:9" ht="15" customHeight="1" thickBot="1" x14ac:dyDescent="0.25">
      <c r="A40" s="1722"/>
      <c r="B40" s="1671"/>
      <c r="C40" s="85" t="str">
        <f>F!C145</f>
        <v xml:space="preserve">&gt;95% of the AA. </v>
      </c>
      <c r="D40" s="84">
        <f>F!D145</f>
        <v>0</v>
      </c>
      <c r="E40" s="188">
        <v>4</v>
      </c>
      <c r="F40" s="188">
        <f>D40*E40</f>
        <v>0</v>
      </c>
      <c r="G40" s="385"/>
      <c r="H40" s="1972"/>
      <c r="I40" s="1671"/>
    </row>
    <row r="41" spans="1:9" ht="30" customHeight="1" thickBot="1" x14ac:dyDescent="0.25">
      <c r="A41" s="1853" t="str">
        <f>F!A146</f>
        <v>F28</v>
      </c>
      <c r="B41" s="1696" t="str">
        <f>F!B146</f>
        <v>Annual Water Fluctuation Range</v>
      </c>
      <c r="C41" s="245" t="str">
        <f>F!C146</f>
        <v>The annual fluctuation in surface water level within most of the parts of the AA that contain surface water at least temporarily is:</v>
      </c>
      <c r="D41" s="191"/>
      <c r="E41" s="186"/>
      <c r="F41" s="189"/>
      <c r="G41" s="328">
        <f>IF((AllSat1&gt;0),"", IF((NoSeasonal=1),"",MAX(F42:F46)/MAX(E42:E46)))</f>
        <v>0</v>
      </c>
      <c r="H41" s="1937" t="s">
        <v>1840</v>
      </c>
      <c r="I41" s="1669" t="s">
        <v>89</v>
      </c>
    </row>
    <row r="42" spans="1:9" ht="15" customHeight="1" x14ac:dyDescent="0.2">
      <c r="A42" s="1853"/>
      <c r="B42" s="1696"/>
      <c r="C42" s="14" t="str">
        <f>F!C147</f>
        <v>&lt;10 cm change (stable or nearly so).</v>
      </c>
      <c r="D42" s="129">
        <f>F!D147</f>
        <v>0</v>
      </c>
      <c r="E42" s="187">
        <v>0</v>
      </c>
      <c r="F42" s="187">
        <f>D42*E42</f>
        <v>0</v>
      </c>
      <c r="G42" s="383"/>
      <c r="H42" s="1938"/>
      <c r="I42" s="1670"/>
    </row>
    <row r="43" spans="1:9" ht="15" customHeight="1" x14ac:dyDescent="0.2">
      <c r="A43" s="1853"/>
      <c r="B43" s="1696"/>
      <c r="C43" s="4" t="str">
        <f>F!C148</f>
        <v>10 cm - 50 cm change.</v>
      </c>
      <c r="D43" s="33">
        <f>F!D148</f>
        <v>0</v>
      </c>
      <c r="E43" s="187">
        <v>1</v>
      </c>
      <c r="F43" s="187">
        <f>D43*E43</f>
        <v>0</v>
      </c>
      <c r="G43" s="384"/>
      <c r="H43" s="1938"/>
      <c r="I43" s="1670"/>
    </row>
    <row r="44" spans="1:9" ht="15" customHeight="1" x14ac:dyDescent="0.2">
      <c r="A44" s="1853"/>
      <c r="B44" s="1696"/>
      <c r="C44" s="4" t="str">
        <f>F!C149</f>
        <v>0.5 - 1 m change.</v>
      </c>
      <c r="D44" s="33">
        <f>F!D149</f>
        <v>0</v>
      </c>
      <c r="E44" s="187">
        <v>2</v>
      </c>
      <c r="F44" s="187">
        <f>D44*E44</f>
        <v>0</v>
      </c>
      <c r="G44" s="384"/>
      <c r="H44" s="1938"/>
      <c r="I44" s="1670"/>
    </row>
    <row r="45" spans="1:9" ht="15" customHeight="1" x14ac:dyDescent="0.2">
      <c r="A45" s="1853"/>
      <c r="B45" s="1696"/>
      <c r="C45" s="4" t="str">
        <f>F!C150</f>
        <v>1-2 m change.</v>
      </c>
      <c r="D45" s="33">
        <f>F!D150</f>
        <v>0</v>
      </c>
      <c r="E45" s="190">
        <v>3</v>
      </c>
      <c r="F45" s="190">
        <f>D45*E45</f>
        <v>0</v>
      </c>
      <c r="G45" s="391"/>
      <c r="H45" s="1939"/>
      <c r="I45" s="1670"/>
    </row>
    <row r="46" spans="1:9" ht="15" customHeight="1" thickBot="1" x14ac:dyDescent="0.25">
      <c r="A46" s="1853"/>
      <c r="B46" s="1696"/>
      <c r="C46" s="4" t="str">
        <f>F!C151</f>
        <v>&gt;2 m change.</v>
      </c>
      <c r="D46" s="33">
        <f>F!D151</f>
        <v>0</v>
      </c>
      <c r="E46" s="190">
        <v>4</v>
      </c>
      <c r="F46" s="190">
        <f>D46*E46</f>
        <v>0</v>
      </c>
      <c r="G46" s="391"/>
      <c r="H46" s="1939"/>
      <c r="I46" s="1671"/>
    </row>
    <row r="47" spans="1:9" ht="30" customHeight="1" thickBot="1" x14ac:dyDescent="0.25">
      <c r="A47" s="1721" t="str">
        <f>F!A153</f>
        <v>F29</v>
      </c>
      <c r="B47" s="1693" t="str">
        <f>F!B153</f>
        <v>Predominant Depth Class</v>
      </c>
      <c r="C47" s="240" t="str">
        <f>F!C153</f>
        <v>During most of the time when surface water is present during the growing season, its depth, averaged over the entire inundated part of the AA, is:</v>
      </c>
      <c r="D47" s="191"/>
      <c r="E47" s="191"/>
      <c r="F47" s="192"/>
      <c r="G47" s="327">
        <f>IF((AllSat1&gt;0),"",MAX(F48:F52)/MAX(E48:E52))</f>
        <v>0</v>
      </c>
      <c r="H47" s="1693" t="s">
        <v>1841</v>
      </c>
      <c r="I47" s="1669" t="s">
        <v>90</v>
      </c>
    </row>
    <row r="48" spans="1:9" ht="15" customHeight="1" x14ac:dyDescent="0.2">
      <c r="A48" s="1703"/>
      <c r="B48" s="1696"/>
      <c r="C48" s="14" t="str">
        <f>F!C154</f>
        <v>&lt;10 cm deep (but &gt;0).</v>
      </c>
      <c r="D48" s="129">
        <f>F!D154</f>
        <v>0</v>
      </c>
      <c r="E48" s="187">
        <v>5</v>
      </c>
      <c r="F48" s="187">
        <f>D48*E48</f>
        <v>0</v>
      </c>
      <c r="G48" s="383"/>
      <c r="H48" s="1696"/>
      <c r="I48" s="1670"/>
    </row>
    <row r="49" spans="1:9" ht="15" customHeight="1" x14ac:dyDescent="0.2">
      <c r="A49" s="1703"/>
      <c r="B49" s="1696"/>
      <c r="C49" s="4" t="str">
        <f>F!C155</f>
        <v>10 - 50 cm deep.</v>
      </c>
      <c r="D49" s="33">
        <f>F!D155</f>
        <v>0</v>
      </c>
      <c r="E49" s="187">
        <v>4</v>
      </c>
      <c r="F49" s="187">
        <f>D49*E49</f>
        <v>0</v>
      </c>
      <c r="G49" s="384"/>
      <c r="H49" s="1696"/>
      <c r="I49" s="1670"/>
    </row>
    <row r="50" spans="1:9" ht="15" customHeight="1" x14ac:dyDescent="0.2">
      <c r="A50" s="1703"/>
      <c r="B50" s="1696"/>
      <c r="C50" s="4" t="str">
        <f>F!C156</f>
        <v>0.5 - 1 m deep.</v>
      </c>
      <c r="D50" s="33">
        <f>F!D156</f>
        <v>0</v>
      </c>
      <c r="E50" s="187">
        <v>2</v>
      </c>
      <c r="F50" s="187">
        <f>D50*E50</f>
        <v>0</v>
      </c>
      <c r="G50" s="384"/>
      <c r="H50" s="1696"/>
      <c r="I50" s="1670"/>
    </row>
    <row r="51" spans="1:9" ht="15" customHeight="1" x14ac:dyDescent="0.2">
      <c r="A51" s="1703"/>
      <c r="B51" s="1696"/>
      <c r="C51" s="4" t="str">
        <f>F!C157</f>
        <v>1 - 2 m deep.</v>
      </c>
      <c r="D51" s="33">
        <f>F!D157</f>
        <v>0</v>
      </c>
      <c r="E51" s="187">
        <v>1</v>
      </c>
      <c r="F51" s="187">
        <f>D51*E51</f>
        <v>0</v>
      </c>
      <c r="G51" s="384"/>
      <c r="H51" s="1696"/>
      <c r="I51" s="1670"/>
    </row>
    <row r="52" spans="1:9" ht="15" customHeight="1" thickBot="1" x14ac:dyDescent="0.25">
      <c r="A52" s="1722"/>
      <c r="B52" s="1712"/>
      <c r="C52" s="85" t="str">
        <f>F!C158</f>
        <v>&gt;2 m deep. True for many fringe wetlands.</v>
      </c>
      <c r="D52" s="84">
        <f>F!D158</f>
        <v>0</v>
      </c>
      <c r="E52" s="188">
        <v>0</v>
      </c>
      <c r="F52" s="216">
        <f>D52*E52</f>
        <v>0</v>
      </c>
      <c r="G52" s="385"/>
      <c r="H52" s="1712"/>
      <c r="I52" s="1671"/>
    </row>
    <row r="53" spans="1:9" ht="45" customHeight="1" thickBot="1" x14ac:dyDescent="0.25">
      <c r="A53" s="1862" t="str">
        <f>F!A163</f>
        <v>F31</v>
      </c>
      <c r="B53" s="1666" t="str">
        <f>F!B163</f>
        <v>% of Water That Is Ponded (not Flowing)</v>
      </c>
      <c r="C53" s="323" t="str">
        <f>F!C163</f>
        <v>During most times when surface water is present, the percentage that is (1) ponded (stagnant, or flows so slowly that fine sediment is not held in suspension) AND (2) is likely to be deeper than 0.5 m in some places, is:</v>
      </c>
      <c r="D53" s="191"/>
      <c r="E53" s="191"/>
      <c r="F53" s="390"/>
      <c r="G53" s="327">
        <f>IF((AllSat1=1),"",MAX(F54:F58)/MAX(E54:E58))</f>
        <v>0</v>
      </c>
      <c r="H53" s="1669" t="s">
        <v>1838</v>
      </c>
      <c r="I53" s="1669" t="s">
        <v>997</v>
      </c>
    </row>
    <row r="54" spans="1:9" ht="15" customHeight="1" x14ac:dyDescent="0.2">
      <c r="A54" s="1723"/>
      <c r="B54" s="1667"/>
      <c r="C54" s="403" t="str">
        <f>F!C164</f>
        <v>&lt;5% of the water, or it occupies &lt;100 sq.m cumulatively. Nearly all the surface water is flowing. SKIP to F34.</v>
      </c>
      <c r="D54" s="692">
        <f>F!D164</f>
        <v>0</v>
      </c>
      <c r="E54" s="187">
        <v>4</v>
      </c>
      <c r="F54" s="190">
        <f>D54*E54</f>
        <v>0</v>
      </c>
      <c r="G54" s="384"/>
      <c r="H54" s="1670"/>
      <c r="I54" s="1670"/>
    </row>
    <row r="55" spans="1:9" ht="15" customHeight="1" x14ac:dyDescent="0.2">
      <c r="A55" s="1723"/>
      <c r="B55" s="1667"/>
      <c r="C55" s="326" t="str">
        <f>F!C165</f>
        <v>5-30% of the water.</v>
      </c>
      <c r="D55" s="693">
        <f>F!D165</f>
        <v>0</v>
      </c>
      <c r="E55" s="187">
        <v>3</v>
      </c>
      <c r="F55" s="190">
        <f>D55*E55</f>
        <v>0</v>
      </c>
      <c r="G55" s="384"/>
      <c r="H55" s="1670"/>
      <c r="I55" s="1670"/>
    </row>
    <row r="56" spans="1:9" ht="15" customHeight="1" x14ac:dyDescent="0.2">
      <c r="A56" s="1723"/>
      <c r="B56" s="1667"/>
      <c r="C56" s="326" t="str">
        <f>F!C166</f>
        <v>30-70% of the water.</v>
      </c>
      <c r="D56" s="693">
        <f>F!D166</f>
        <v>0</v>
      </c>
      <c r="E56" s="187">
        <v>2</v>
      </c>
      <c r="F56" s="190">
        <f>D56*E56</f>
        <v>0</v>
      </c>
      <c r="G56" s="384"/>
      <c r="H56" s="1670"/>
      <c r="I56" s="1670"/>
    </row>
    <row r="57" spans="1:9" ht="15" customHeight="1" x14ac:dyDescent="0.2">
      <c r="A57" s="1723"/>
      <c r="B57" s="1667"/>
      <c r="C57" s="326" t="str">
        <f>F!C167</f>
        <v>70-95% of the water.</v>
      </c>
      <c r="D57" s="693">
        <f>F!D167</f>
        <v>0</v>
      </c>
      <c r="E57" s="187">
        <v>1</v>
      </c>
      <c r="F57" s="190">
        <f>D57*E57</f>
        <v>0</v>
      </c>
      <c r="G57" s="384"/>
      <c r="H57" s="1670"/>
      <c r="I57" s="1670"/>
    </row>
    <row r="58" spans="1:9" ht="15" customHeight="1" thickBot="1" x14ac:dyDescent="0.25">
      <c r="A58" s="1863"/>
      <c r="B58" s="1668"/>
      <c r="C58" s="401" t="str">
        <f>F!C168</f>
        <v>&gt;95% of the water.</v>
      </c>
      <c r="D58" s="694">
        <f>F!D168</f>
        <v>0</v>
      </c>
      <c r="E58" s="188">
        <v>0</v>
      </c>
      <c r="F58" s="188">
        <f>D58*E58</f>
        <v>0</v>
      </c>
      <c r="G58" s="385"/>
      <c r="H58" s="1671"/>
      <c r="I58" s="1671"/>
    </row>
    <row r="59" spans="1:9" ht="30" customHeight="1" thickBot="1" x14ac:dyDescent="0.25">
      <c r="A59" s="1973" t="str">
        <f>F!A170</f>
        <v>F33</v>
      </c>
      <c r="B59" s="1666" t="str">
        <f>F!B170</f>
        <v xml:space="preserve">% of Ponded Water that is Open </v>
      </c>
      <c r="C59" s="70" t="str">
        <f>F!C170</f>
        <v>In ducks-eye aerial view, the percentage of the ponded water that is open (lacking emergent vegetation during most of the growing season, and unhidden by a forest or shrub canopy) is:</v>
      </c>
      <c r="D59" s="758"/>
      <c r="E59" s="191"/>
      <c r="F59" s="191"/>
      <c r="G59" s="327">
        <f>IF((AllSat1&gt;0),"",IF((NoPonded=1),"",MAX(F60:F65)/MAX(E60:E65)))</f>
        <v>0</v>
      </c>
      <c r="H59" s="1669" t="s">
        <v>1842</v>
      </c>
      <c r="I59" s="1669" t="s">
        <v>100</v>
      </c>
    </row>
    <row r="60" spans="1:9" ht="27" customHeight="1" x14ac:dyDescent="0.2">
      <c r="A60" s="1974"/>
      <c r="B60" s="1667"/>
      <c r="C60" s="913" t="str">
        <f>F!C171</f>
        <v>None, or &lt;1% of the AA and largest pool occupies &lt;0.01 hectares. Enter "1" and SKIP to F41 (Floating Algae &amp; Duckweed).</v>
      </c>
      <c r="D60" s="133">
        <f>F!D171</f>
        <v>0</v>
      </c>
      <c r="E60" s="203">
        <v>6</v>
      </c>
      <c r="F60" s="190">
        <f t="shared" ref="F60:F65" si="1">D60*E60</f>
        <v>0</v>
      </c>
      <c r="G60" s="384"/>
      <c r="H60" s="1670"/>
      <c r="I60" s="1670"/>
    </row>
    <row r="61" spans="1:9" ht="15" customHeight="1" x14ac:dyDescent="0.2">
      <c r="A61" s="1974"/>
      <c r="B61" s="1667"/>
      <c r="C61" s="403" t="str">
        <f>F!C172</f>
        <v>1-4% of the ponded water. Enter "1" and SKIP to F41 (Floating Algae &amp; Duckweed).</v>
      </c>
      <c r="D61" s="132">
        <f>F!D172</f>
        <v>0</v>
      </c>
      <c r="E61" s="203">
        <v>5</v>
      </c>
      <c r="F61" s="190">
        <f t="shared" si="1"/>
        <v>0</v>
      </c>
      <c r="G61" s="384"/>
      <c r="H61" s="1670"/>
      <c r="I61" s="1670"/>
    </row>
    <row r="62" spans="1:9" ht="15" customHeight="1" x14ac:dyDescent="0.2">
      <c r="A62" s="1974"/>
      <c r="B62" s="1667"/>
      <c r="C62" s="631" t="str">
        <f>F!C173</f>
        <v>5-30% of the ponded water.</v>
      </c>
      <c r="D62" s="132">
        <f>F!D173</f>
        <v>0</v>
      </c>
      <c r="E62" s="203">
        <v>4</v>
      </c>
      <c r="F62" s="190">
        <f t="shared" si="1"/>
        <v>0</v>
      </c>
      <c r="G62" s="384"/>
      <c r="H62" s="1670"/>
      <c r="I62" s="1670"/>
    </row>
    <row r="63" spans="1:9" ht="15" customHeight="1" x14ac:dyDescent="0.2">
      <c r="A63" s="1974"/>
      <c r="B63" s="1667"/>
      <c r="C63" s="631" t="str">
        <f>F!C174</f>
        <v>30-70% of the ponded water.</v>
      </c>
      <c r="D63" s="150">
        <f>F!D174</f>
        <v>0</v>
      </c>
      <c r="E63" s="203">
        <v>3</v>
      </c>
      <c r="F63" s="190">
        <f t="shared" si="1"/>
        <v>0</v>
      </c>
      <c r="G63" s="384"/>
      <c r="H63" s="1670"/>
      <c r="I63" s="1670"/>
    </row>
    <row r="64" spans="1:9" ht="15" customHeight="1" x14ac:dyDescent="0.2">
      <c r="A64" s="1974"/>
      <c r="B64" s="1667"/>
      <c r="C64" s="631" t="str">
        <f>F!C175</f>
        <v>70-99% of the ponded water.</v>
      </c>
      <c r="D64" s="133">
        <f>F!D175</f>
        <v>0</v>
      </c>
      <c r="E64" s="203">
        <v>2</v>
      </c>
      <c r="F64" s="190">
        <f t="shared" si="1"/>
        <v>0</v>
      </c>
      <c r="G64" s="384"/>
      <c r="H64" s="1670"/>
      <c r="I64" s="1670"/>
    </row>
    <row r="65" spans="1:9" ht="15" customHeight="1" thickBot="1" x14ac:dyDescent="0.25">
      <c r="A65" s="1975"/>
      <c r="B65" s="1668"/>
      <c r="C65" s="912" t="str">
        <f>F!C176</f>
        <v xml:space="preserve">100% of the ponded water. </v>
      </c>
      <c r="D65" s="148">
        <f>F!D176</f>
        <v>0</v>
      </c>
      <c r="E65" s="204">
        <v>1</v>
      </c>
      <c r="F65" s="188">
        <f t="shared" si="1"/>
        <v>0</v>
      </c>
      <c r="G65" s="385"/>
      <c r="H65" s="1671"/>
      <c r="I65" s="1671"/>
    </row>
    <row r="66" spans="1:9" ht="30" customHeight="1" thickBot="1" x14ac:dyDescent="0.25">
      <c r="A66" s="1872" t="str">
        <f>F!A177</f>
        <v>F34</v>
      </c>
      <c r="B66" s="1667" t="str">
        <f>F!B177</f>
        <v>Width of Vegetated Zone within Wetland</v>
      </c>
      <c r="C66" s="245" t="str">
        <f>F!C177</f>
        <v>At the time during the growing season when the AA's water level is lowest, the average width of vegetated area in the AA that separates adjoining uplands from open water within the AA is:</v>
      </c>
      <c r="D66" s="191"/>
      <c r="E66" s="186"/>
      <c r="F66" s="189"/>
      <c r="G66" s="328">
        <f>IF((AllSat1&gt;0),"",IF((NoOpenPonded=1),"",MAX(F67:F72)/MAX(E67:E72)))</f>
        <v>0</v>
      </c>
      <c r="H66" s="1937" t="s">
        <v>1844</v>
      </c>
      <c r="I66" s="1669" t="s">
        <v>91</v>
      </c>
    </row>
    <row r="67" spans="1:9" ht="15" customHeight="1" x14ac:dyDescent="0.2">
      <c r="A67" s="1853"/>
      <c r="B67" s="1670"/>
      <c r="C67" s="14" t="str">
        <f>F!C178</f>
        <v>&lt;1 m.</v>
      </c>
      <c r="D67" s="129">
        <f>F!D178</f>
        <v>0</v>
      </c>
      <c r="E67" s="187">
        <v>4</v>
      </c>
      <c r="F67" s="187">
        <f t="shared" ref="F67:F72" si="2">D67*E67</f>
        <v>0</v>
      </c>
      <c r="G67" s="383"/>
      <c r="H67" s="1938"/>
      <c r="I67" s="1670"/>
    </row>
    <row r="68" spans="1:9" ht="15" customHeight="1" x14ac:dyDescent="0.2">
      <c r="A68" s="1853"/>
      <c r="B68" s="1670"/>
      <c r="C68" s="4" t="str">
        <f>F!C179</f>
        <v>1 - 9 m.</v>
      </c>
      <c r="D68" s="33">
        <f>F!D179</f>
        <v>0</v>
      </c>
      <c r="E68" s="187">
        <v>5</v>
      </c>
      <c r="F68" s="187">
        <f t="shared" si="2"/>
        <v>0</v>
      </c>
      <c r="G68" s="384"/>
      <c r="H68" s="1938"/>
      <c r="I68" s="1670"/>
    </row>
    <row r="69" spans="1:9" ht="15" customHeight="1" x14ac:dyDescent="0.2">
      <c r="A69" s="1853"/>
      <c r="B69" s="1670"/>
      <c r="C69" s="4" t="str">
        <f>F!C180</f>
        <v>10 - 29 m.</v>
      </c>
      <c r="D69" s="33">
        <f>F!D180</f>
        <v>0</v>
      </c>
      <c r="E69" s="187">
        <v>4</v>
      </c>
      <c r="F69" s="187">
        <f t="shared" si="2"/>
        <v>0</v>
      </c>
      <c r="G69" s="384"/>
      <c r="H69" s="1938"/>
      <c r="I69" s="1670"/>
    </row>
    <row r="70" spans="1:9" ht="15" customHeight="1" x14ac:dyDescent="0.2">
      <c r="A70" s="1853"/>
      <c r="B70" s="1670"/>
      <c r="C70" s="4" t="str">
        <f>F!C181</f>
        <v>30 - 49 m.</v>
      </c>
      <c r="D70" s="33">
        <f>F!D181</f>
        <v>0</v>
      </c>
      <c r="E70" s="187">
        <v>3</v>
      </c>
      <c r="F70" s="187">
        <f t="shared" si="2"/>
        <v>0</v>
      </c>
      <c r="G70" s="384"/>
      <c r="H70" s="1938"/>
      <c r="I70" s="1670"/>
    </row>
    <row r="71" spans="1:9" ht="15" customHeight="1" x14ac:dyDescent="0.2">
      <c r="A71" s="1853"/>
      <c r="B71" s="1670"/>
      <c r="C71" s="4" t="str">
        <f>F!C182</f>
        <v>50 - 100 m.</v>
      </c>
      <c r="D71" s="33">
        <f>F!D182</f>
        <v>0</v>
      </c>
      <c r="E71" s="187">
        <v>2</v>
      </c>
      <c r="F71" s="187">
        <f t="shared" si="2"/>
        <v>0</v>
      </c>
      <c r="G71" s="384"/>
      <c r="H71" s="1938"/>
      <c r="I71" s="1670"/>
    </row>
    <row r="72" spans="1:9" ht="15" customHeight="1" thickBot="1" x14ac:dyDescent="0.25">
      <c r="A72" s="1853"/>
      <c r="B72" s="1670"/>
      <c r="C72" s="4" t="str">
        <f>F!C183</f>
        <v>&gt; 100 m, or open water is absent at that time.</v>
      </c>
      <c r="D72" s="33">
        <f>F!D183</f>
        <v>0</v>
      </c>
      <c r="E72" s="187">
        <v>1</v>
      </c>
      <c r="F72" s="190">
        <f t="shared" si="2"/>
        <v>0</v>
      </c>
      <c r="G72" s="391"/>
      <c r="H72" s="1939"/>
      <c r="I72" s="1671"/>
    </row>
    <row r="73" spans="1:9" ht="30" customHeight="1" thickBot="1" x14ac:dyDescent="0.25">
      <c r="A73" s="1862" t="str">
        <f>F!A195</f>
        <v>F37</v>
      </c>
      <c r="B73" s="1666" t="str">
        <f>F!B195</f>
        <v>Interspersion of Emergents &amp; Open Water</v>
      </c>
      <c r="C73" s="402" t="str">
        <f>F!C195</f>
        <v>During most of the part of the growing season when water is present, the spatial pattern of emergent vegetation within the water is mostly:</v>
      </c>
      <c r="D73" s="191"/>
      <c r="E73" s="191"/>
      <c r="F73" s="192"/>
      <c r="G73" s="327">
        <f>IF((AllSat1&gt;0),"",IF((NoOpenPonded=1),"",IF((AllOpenPond=1),"",IF((NoRobustEm=1),"",MAX(F74:F76)/MAX(E74:E76)))))</f>
        <v>0</v>
      </c>
      <c r="H73" s="1669" t="s">
        <v>1843</v>
      </c>
      <c r="I73" s="1669" t="s">
        <v>1023</v>
      </c>
    </row>
    <row r="74" spans="1:9" ht="15" customHeight="1" x14ac:dyDescent="0.2">
      <c r="A74" s="1723"/>
      <c r="B74" s="1667"/>
      <c r="C74" s="285" t="str">
        <f>F!C196</f>
        <v>Scattered. More than 30% of such vegetation forms small islands or corridors surrounded by water.</v>
      </c>
      <c r="D74" s="131">
        <f>F!D196</f>
        <v>0</v>
      </c>
      <c r="E74" s="187">
        <v>2</v>
      </c>
      <c r="F74" s="190">
        <f>D74*E74</f>
        <v>0</v>
      </c>
      <c r="G74" s="384"/>
      <c r="H74" s="1670"/>
      <c r="I74" s="1670"/>
    </row>
    <row r="75" spans="1:9" ht="15" customHeight="1" x14ac:dyDescent="0.2">
      <c r="A75" s="1723"/>
      <c r="B75" s="1667"/>
      <c r="C75" s="285" t="str">
        <f>F!C197</f>
        <v>Intermediate.</v>
      </c>
      <c r="D75" s="131">
        <f>F!D197</f>
        <v>0</v>
      </c>
      <c r="E75" s="187">
        <v>1</v>
      </c>
      <c r="F75" s="190">
        <f>D75*E75</f>
        <v>0</v>
      </c>
      <c r="G75" s="384"/>
      <c r="H75" s="1670"/>
      <c r="I75" s="1670"/>
    </row>
    <row r="76" spans="1:9" ht="27" customHeight="1" thickBot="1" x14ac:dyDescent="0.25">
      <c r="A76" s="1863"/>
      <c r="B76" s="1668"/>
      <c r="C76" s="404" t="str">
        <f>F!C198</f>
        <v>Clumped. More than 70% of such vegetation is in bands along the wetland perimeter or is clumped at one or a few sides of the surface water area.</v>
      </c>
      <c r="D76" s="149">
        <f>F!D198</f>
        <v>0</v>
      </c>
      <c r="E76" s="188">
        <v>0</v>
      </c>
      <c r="F76" s="188">
        <f>D76*E76</f>
        <v>0</v>
      </c>
      <c r="G76" s="385"/>
      <c r="H76" s="1671"/>
      <c r="I76" s="1671"/>
    </row>
    <row r="77" spans="1:9" ht="60" customHeight="1" thickBot="1" x14ac:dyDescent="0.25">
      <c r="A77" s="1721" t="str">
        <f>F!A206</f>
        <v>F42</v>
      </c>
      <c r="B77" s="1693" t="str">
        <f>F!B206</f>
        <v>Channel Connection &amp; Outflow Duration</v>
      </c>
      <c r="C77" s="240" t="str">
        <f>F!C206</f>
        <v>The most persistent surface water connection (outlet channel or pipe, ditch, or overbank water exchange) between the AA and a downslope stream network is: [Note: If the AA represents only part of a wetland, answer this according to whichever is the least permanent surface connection: the one between the AA and the rest of the wetland, or the surface connection between the wetland and the downslope stream network.]</v>
      </c>
      <c r="D77" s="191"/>
      <c r="E77" s="191"/>
      <c r="F77" s="192"/>
      <c r="G77" s="327">
        <f>IF((AllSat1&gt;0),"",MAX(F78:F82)/MAX(E78:E82))</f>
        <v>0</v>
      </c>
      <c r="H77" s="1971" t="s">
        <v>1724</v>
      </c>
      <c r="I77" s="1669" t="s">
        <v>92</v>
      </c>
    </row>
    <row r="78" spans="1:9" ht="15" customHeight="1" x14ac:dyDescent="0.2">
      <c r="A78" s="1703"/>
      <c r="B78" s="1696"/>
      <c r="C78" s="14" t="str">
        <f>F!C207</f>
        <v>Persistent (surface water flows out for &gt;9 months/year).</v>
      </c>
      <c r="D78" s="129">
        <f>F!D207</f>
        <v>0</v>
      </c>
      <c r="E78" s="187">
        <v>5</v>
      </c>
      <c r="F78" s="187">
        <f>D78*E78</f>
        <v>0</v>
      </c>
      <c r="G78" s="383"/>
      <c r="H78" s="1938"/>
      <c r="I78" s="1670"/>
    </row>
    <row r="79" spans="1:9" ht="15" customHeight="1" x14ac:dyDescent="0.2">
      <c r="A79" s="1703"/>
      <c r="B79" s="1696"/>
      <c r="C79" s="4" t="str">
        <f>F!C208</f>
        <v>Seasonal (surface water flows out for 14 days to 9 months/year, not necessarily consecutive).</v>
      </c>
      <c r="D79" s="33">
        <f>F!D208</f>
        <v>0</v>
      </c>
      <c r="E79" s="187">
        <v>4</v>
      </c>
      <c r="F79" s="187">
        <f>D79*E79</f>
        <v>0</v>
      </c>
      <c r="G79" s="384"/>
      <c r="H79" s="1938"/>
      <c r="I79" s="1670"/>
    </row>
    <row r="80" spans="1:9" ht="15" customHeight="1" x14ac:dyDescent="0.2">
      <c r="A80" s="1703"/>
      <c r="B80" s="1696"/>
      <c r="C80" s="4" t="str">
        <f>F!C209</f>
        <v>Temporary (surface water flows out for &lt;14 days, not necessarily consecutive).</v>
      </c>
      <c r="D80" s="33">
        <f>F!D209</f>
        <v>0</v>
      </c>
      <c r="E80" s="187">
        <v>3</v>
      </c>
      <c r="F80" s="187">
        <f>D80*E80</f>
        <v>0</v>
      </c>
      <c r="G80" s="384"/>
      <c r="H80" s="1938"/>
      <c r="I80" s="1670"/>
    </row>
    <row r="81" spans="1:9" ht="27" customHeight="1" x14ac:dyDescent="0.2">
      <c r="A81" s="1703"/>
      <c r="B81" s="1696"/>
      <c r="C81" s="4" t="str">
        <f>F!C210</f>
        <v>None -- but maps show a stream network downslope from the AA and within a distance that is less than the AA's length. SKIP to F47 (pH Measurement).</v>
      </c>
      <c r="D81" s="33">
        <f>F!D210</f>
        <v>0</v>
      </c>
      <c r="E81" s="187">
        <v>1</v>
      </c>
      <c r="F81" s="187">
        <f>D81*E81</f>
        <v>0</v>
      </c>
      <c r="G81" s="384"/>
      <c r="H81" s="1938"/>
      <c r="I81" s="1670"/>
    </row>
    <row r="82" spans="1:9" ht="27" customHeight="1" thickBot="1" x14ac:dyDescent="0.25">
      <c r="A82" s="1722"/>
      <c r="B82" s="1712"/>
      <c r="C82" s="85" t="str">
        <f>F!C211</f>
        <v>No surface water flows out of the wetland except possibly during extreme events (&lt;once per 10 years). Or, water flows only into a wetland, ditch, or lake that lacks an outlet. SKIP to F47 (pH Measurement).</v>
      </c>
      <c r="D82" s="84">
        <f>F!D211</f>
        <v>0</v>
      </c>
      <c r="E82" s="204">
        <v>0</v>
      </c>
      <c r="F82" s="188">
        <f>D82*E82</f>
        <v>0</v>
      </c>
      <c r="G82" s="385"/>
      <c r="H82" s="1972"/>
      <c r="I82" s="1671"/>
    </row>
    <row r="83" spans="1:9" ht="30" customHeight="1" thickBot="1" x14ac:dyDescent="0.25">
      <c r="A83" s="1713" t="str">
        <f>F!A212</f>
        <v>F43</v>
      </c>
      <c r="B83" s="1693" t="str">
        <f>F!B212</f>
        <v xml:space="preserve">Outflow Confinement </v>
      </c>
      <c r="C83" s="240" t="str">
        <f>F!C212</f>
        <v>During major runoff events, in the places where surface water exits the AA or connected waters nearby, the water:</v>
      </c>
      <c r="D83" s="191"/>
      <c r="E83" s="191"/>
      <c r="F83" s="192"/>
      <c r="G83" s="327">
        <f>IF((OutNone + OutNone1&gt;0),"",MAX(F84:F86)/MAX(E84:E86))</f>
        <v>0</v>
      </c>
      <c r="H83" s="1971" t="s">
        <v>1725</v>
      </c>
      <c r="I83" s="1669" t="s">
        <v>93</v>
      </c>
    </row>
    <row r="84" spans="1:9" ht="42" customHeight="1" x14ac:dyDescent="0.2">
      <c r="A84" s="1714"/>
      <c r="B84" s="1696"/>
      <c r="C84" s="14" t="str">
        <f>F!C213</f>
        <v>Mostly passes through a pipe, culvert, narrowly breached dike, berm, beaver dam, or other partial obstruction (other than natural topography) that does not appear to drain the wetland artificially during most of the growing season.</v>
      </c>
      <c r="D84" s="129">
        <f>F!D213</f>
        <v>0</v>
      </c>
      <c r="E84" s="187">
        <v>0</v>
      </c>
      <c r="F84" s="187">
        <f>D84*E84</f>
        <v>0</v>
      </c>
      <c r="G84" s="383"/>
      <c r="H84" s="1938"/>
      <c r="I84" s="1670"/>
    </row>
    <row r="85" spans="1:9" ht="15" customHeight="1" x14ac:dyDescent="0.2">
      <c r="A85" s="1714"/>
      <c r="B85" s="1696"/>
      <c r="C85" s="4" t="str">
        <f>F!C214</f>
        <v>Leaves through natural exits (channels or diffuse outflow), not mainly through artificial or temporary features.</v>
      </c>
      <c r="D85" s="33">
        <f>F!D214</f>
        <v>0</v>
      </c>
      <c r="E85" s="187">
        <v>1</v>
      </c>
      <c r="F85" s="187">
        <f>D85*E85</f>
        <v>0</v>
      </c>
      <c r="G85" s="392"/>
      <c r="H85" s="1938"/>
      <c r="I85" s="1670"/>
    </row>
    <row r="86" spans="1:9" ht="27" customHeight="1" thickBot="1" x14ac:dyDescent="0.25">
      <c r="A86" s="1715"/>
      <c r="B86" s="1712"/>
      <c r="C86" s="85" t="str">
        <f>F!C215</f>
        <v>Is exported more quickly than usual due to ditches or pipes within the AA or connected to its outlet, or within 10 m of the AA's edge, which drain the wetland artificially, or water is pumped out of the AA.</v>
      </c>
      <c r="D86" s="84">
        <f>F!D215</f>
        <v>0</v>
      </c>
      <c r="E86" s="188">
        <v>2</v>
      </c>
      <c r="F86" s="188">
        <f>D86*E86</f>
        <v>0</v>
      </c>
      <c r="G86" s="385"/>
      <c r="H86" s="1972"/>
      <c r="I86" s="1671"/>
    </row>
    <row r="87" spans="1:9" ht="30" customHeight="1" thickBot="1" x14ac:dyDescent="0.25">
      <c r="A87" s="1940" t="str">
        <f>F!A218</f>
        <v>F46</v>
      </c>
      <c r="B87" s="1696" t="str">
        <f>F!B218</f>
        <v>Throughflow Resistance</v>
      </c>
      <c r="C87" s="245" t="str">
        <f>F!C218</f>
        <v>During its travel through the AA at the time of peak annual flow, water arriving in channels: [select only the ONE encountered by most of the incoming water].</v>
      </c>
      <c r="D87" s="186"/>
      <c r="E87" s="186"/>
      <c r="F87" s="189"/>
      <c r="G87" s="328">
        <f>IF(AND(Inflows=0,OutNone=1,OutNone1=1),"",MAX(F88:F92)/MAX(E88:E92))</f>
        <v>0</v>
      </c>
      <c r="H87" s="1937" t="s">
        <v>1726</v>
      </c>
      <c r="I87" s="1669" t="s">
        <v>94</v>
      </c>
    </row>
    <row r="88" spans="1:9" ht="42" customHeight="1" x14ac:dyDescent="0.2">
      <c r="A88" s="1940"/>
      <c r="B88" s="1696"/>
      <c r="C88" s="14" t="str">
        <f>F!C219</f>
        <v>Does not bump into many plant stems as it travels through the AA. Nearly all the water continues to travel in unvegetated (often incised) channels that have minimal contact with wetland vegetation, or through a zone of open water such as an instream pond or lake.</v>
      </c>
      <c r="D88" s="129">
        <f>F!D219</f>
        <v>0</v>
      </c>
      <c r="E88" s="187">
        <v>0</v>
      </c>
      <c r="F88" s="187">
        <f>D88*E88</f>
        <v>0</v>
      </c>
      <c r="G88" s="383"/>
      <c r="H88" s="1938"/>
      <c r="I88" s="1670"/>
    </row>
    <row r="89" spans="1:9" ht="15" customHeight="1" x14ac:dyDescent="0.2">
      <c r="A89" s="1940"/>
      <c r="B89" s="1696"/>
      <c r="C89" s="4" t="str">
        <f>F!C220</f>
        <v>Bumps into herbaceous vegetation but mostly remains in fairly straight channels.</v>
      </c>
      <c r="D89" s="33">
        <f>F!D220</f>
        <v>0</v>
      </c>
      <c r="E89" s="187">
        <v>1</v>
      </c>
      <c r="F89" s="187">
        <f>D89*E89</f>
        <v>0</v>
      </c>
      <c r="G89" s="384"/>
      <c r="H89" s="1938"/>
      <c r="I89" s="1670"/>
    </row>
    <row r="90" spans="1:9" ht="27" customHeight="1" x14ac:dyDescent="0.2">
      <c r="A90" s="1940"/>
      <c r="B90" s="1696"/>
      <c r="C90" s="4" t="str">
        <f>F!C221</f>
        <v>Bumps into herbaceous vegetation and mostly spreads throughout, or is in widely meandering, multi-branched, or braided channels.</v>
      </c>
      <c r="D90" s="33">
        <f>F!D221</f>
        <v>0</v>
      </c>
      <c r="E90" s="187">
        <v>2</v>
      </c>
      <c r="F90" s="187">
        <f>D90*E90</f>
        <v>0</v>
      </c>
      <c r="G90" s="384"/>
      <c r="H90" s="1938"/>
      <c r="I90" s="1670"/>
    </row>
    <row r="91" spans="1:9" ht="15" customHeight="1" x14ac:dyDescent="0.2">
      <c r="A91" s="1940"/>
      <c r="B91" s="1696"/>
      <c r="C91" s="4" t="str">
        <f>F!C222</f>
        <v>Bumps into tree trunks and/or shrub stems but mostly remains in fairly straight channels.</v>
      </c>
      <c r="D91" s="33">
        <f>F!D222</f>
        <v>0</v>
      </c>
      <c r="E91" s="187">
        <v>1</v>
      </c>
      <c r="F91" s="187">
        <f>D91*E91</f>
        <v>0</v>
      </c>
      <c r="G91" s="384"/>
      <c r="H91" s="1938"/>
      <c r="I91" s="1670"/>
    </row>
    <row r="92" spans="1:9" ht="27" customHeight="1" thickBot="1" x14ac:dyDescent="0.25">
      <c r="A92" s="1940"/>
      <c r="B92" s="1696"/>
      <c r="C92" s="241" t="str">
        <f>F!C223</f>
        <v>Bumps into tree trunks and/or shrub stems and follows a fairly indirect path from entrance to exit (meandering, multi-branched, or braided).</v>
      </c>
      <c r="D92" s="128">
        <f>F!D223</f>
        <v>0</v>
      </c>
      <c r="E92" s="190">
        <v>2</v>
      </c>
      <c r="F92" s="190">
        <f>D92*E92</f>
        <v>0</v>
      </c>
      <c r="G92" s="391"/>
      <c r="H92" s="1939"/>
      <c r="I92" s="1671"/>
    </row>
    <row r="93" spans="1:9" ht="21" customHeight="1" thickBot="1" x14ac:dyDescent="0.25">
      <c r="A93" s="1721" t="str">
        <f>F!A237</f>
        <v>F50</v>
      </c>
      <c r="B93" s="1669" t="str">
        <f>F!B237</f>
        <v>Groundwater Strength of Evidence</v>
      </c>
      <c r="C93" s="240" t="str">
        <f>F!C237</f>
        <v>Select first applicable choice:</v>
      </c>
      <c r="D93" s="191"/>
      <c r="E93" s="191"/>
      <c r="F93" s="191"/>
      <c r="G93" s="327">
        <f>IF((D96=1),"",MAX(F94:F96)/MAX(E94:E96))</f>
        <v>0</v>
      </c>
      <c r="H93" s="1669" t="s">
        <v>1727</v>
      </c>
      <c r="I93" s="1669" t="s">
        <v>410</v>
      </c>
    </row>
    <row r="94" spans="1:9" ht="42" customHeight="1" x14ac:dyDescent="0.2">
      <c r="A94" s="1703"/>
      <c r="B94" s="1670"/>
      <c r="C94" s="14"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94" s="129">
        <f>F!D238</f>
        <v>0</v>
      </c>
      <c r="E94" s="187">
        <v>2</v>
      </c>
      <c r="F94" s="187">
        <f>D94*E94</f>
        <v>0</v>
      </c>
      <c r="G94" s="384"/>
      <c r="H94" s="1670"/>
      <c r="I94" s="1670"/>
    </row>
    <row r="95" spans="1:9" ht="27" customHeight="1" x14ac:dyDescent="0.2">
      <c r="A95" s="1703"/>
      <c r="B95" s="1670"/>
      <c r="C95" s="4" t="str">
        <f>F!C239</f>
        <v>Most of the AA has a slope of &gt;5%, or is very close to the base of a natural slope longer than 100 and much steeper than the slope of the AA,  AND the pH of surface water, if known, is &gt;5.5.</v>
      </c>
      <c r="D95" s="33">
        <f>F!D239</f>
        <v>0</v>
      </c>
      <c r="E95" s="187">
        <v>1</v>
      </c>
      <c r="F95" s="187">
        <f>D95*E95</f>
        <v>0</v>
      </c>
      <c r="G95" s="384"/>
      <c r="H95" s="1670"/>
      <c r="I95" s="1670"/>
    </row>
    <row r="96" spans="1:9" ht="27" customHeight="1" thickBot="1" x14ac:dyDescent="0.25">
      <c r="A96" s="1722"/>
      <c r="B96" s="1671"/>
      <c r="C96" s="85" t="str">
        <f>F!C240</f>
        <v>Neither of above is true, although some groundwater may discharge to or flow through the AA. Or groundwater influx is unknown.</v>
      </c>
      <c r="D96" s="84">
        <f>F!D240</f>
        <v>0</v>
      </c>
      <c r="E96" s="188">
        <v>0</v>
      </c>
      <c r="F96" s="188">
        <f>D96*E96</f>
        <v>0</v>
      </c>
      <c r="G96" s="385"/>
      <c r="H96" s="1671"/>
      <c r="I96" s="1671"/>
    </row>
    <row r="97" spans="1:9" ht="21" customHeight="1" thickBot="1" x14ac:dyDescent="0.25">
      <c r="A97" s="1696" t="str">
        <f>F!A241</f>
        <v>F51</v>
      </c>
      <c r="B97" s="1693" t="str">
        <f>F!B241</f>
        <v>Internal Gradient</v>
      </c>
      <c r="C97" s="240" t="str">
        <f>F!C241</f>
        <v>The gradient along most of the flow path within the AA is:</v>
      </c>
      <c r="D97" s="390"/>
      <c r="E97" s="191"/>
      <c r="F97" s="192"/>
      <c r="G97" s="400">
        <f>MAX(F98:F101)/MAX(E98:E101)</f>
        <v>0</v>
      </c>
      <c r="H97" s="1693" t="s">
        <v>61</v>
      </c>
      <c r="I97" s="1669" t="s">
        <v>98</v>
      </c>
    </row>
    <row r="98" spans="1:9" ht="15" customHeight="1" x14ac:dyDescent="0.2">
      <c r="A98" s="1696"/>
      <c r="B98" s="1696"/>
      <c r="C98" s="14" t="str">
        <f>F!C242</f>
        <v>&lt;2% or the AA has no surface water outlet (not even seasonally).</v>
      </c>
      <c r="D98" s="33">
        <f>F!D242</f>
        <v>0</v>
      </c>
      <c r="E98" s="203">
        <v>0</v>
      </c>
      <c r="F98" s="187">
        <f>D98*E98</f>
        <v>0</v>
      </c>
      <c r="G98" s="461"/>
      <c r="H98" s="1696"/>
      <c r="I98" s="1670"/>
    </row>
    <row r="99" spans="1:9" ht="15" customHeight="1" x14ac:dyDescent="0.2">
      <c r="A99" s="1696"/>
      <c r="B99" s="1696"/>
      <c r="C99" s="4" t="str">
        <f>F!C243</f>
        <v>2-5%.</v>
      </c>
      <c r="D99" s="33">
        <f>F!D243</f>
        <v>0</v>
      </c>
      <c r="E99" s="203">
        <v>2</v>
      </c>
      <c r="F99" s="187">
        <f>D99*E99</f>
        <v>0</v>
      </c>
      <c r="G99" s="462"/>
      <c r="H99" s="1696"/>
      <c r="I99" s="1670"/>
    </row>
    <row r="100" spans="1:9" ht="15" customHeight="1" x14ac:dyDescent="0.2">
      <c r="A100" s="1696"/>
      <c r="B100" s="1696"/>
      <c r="C100" s="4" t="str">
        <f>F!C244</f>
        <v>6-10%.</v>
      </c>
      <c r="D100" s="33">
        <f>F!D244</f>
        <v>0</v>
      </c>
      <c r="E100" s="203">
        <v>3</v>
      </c>
      <c r="F100" s="187">
        <f>D100*E100</f>
        <v>0</v>
      </c>
      <c r="G100" s="462"/>
      <c r="H100" s="1696"/>
      <c r="I100" s="1670"/>
    </row>
    <row r="101" spans="1:9" ht="15" customHeight="1" thickBot="1" x14ac:dyDescent="0.25">
      <c r="A101" s="1696"/>
      <c r="B101" s="1712"/>
      <c r="C101" s="85" t="str">
        <f>F!C245</f>
        <v>&gt;10%.</v>
      </c>
      <c r="D101" s="84">
        <f>F!D245</f>
        <v>0</v>
      </c>
      <c r="E101" s="204">
        <v>4</v>
      </c>
      <c r="F101" s="188">
        <f>D101*E101</f>
        <v>0</v>
      </c>
      <c r="G101" s="463"/>
      <c r="H101" s="1712"/>
      <c r="I101" s="1671"/>
    </row>
    <row r="102" spans="1:9" ht="30" customHeight="1" thickBot="1" x14ac:dyDescent="0.25">
      <c r="A102" s="1669" t="str">
        <f>F!A262</f>
        <v>F56</v>
      </c>
      <c r="B102" s="1669" t="str">
        <f>F!B262</f>
        <v>New or Expanded Wetland</v>
      </c>
      <c r="C102" s="36" t="str">
        <f>F!C262</f>
        <v>Human actions within or adjacent to the AA have persistently expanded a naturally occurring wetland or created a wetland where there previously was none (e.g., by excavation, impoundment):</v>
      </c>
      <c r="D102" s="202"/>
      <c r="E102" s="202"/>
      <c r="F102" s="192"/>
      <c r="G102" s="327">
        <f>IF((D108=1),"",MAX(F103:F107)/MAX(E103:E107))</f>
        <v>0</v>
      </c>
      <c r="H102" s="1669" t="s">
        <v>1354</v>
      </c>
      <c r="I102" s="1669" t="s">
        <v>99</v>
      </c>
    </row>
    <row r="103" spans="1:9" ht="15" customHeight="1" x14ac:dyDescent="0.2">
      <c r="A103" s="1670"/>
      <c r="B103" s="1670"/>
      <c r="C103" s="243" t="str">
        <f>F!C263</f>
        <v>No.</v>
      </c>
      <c r="D103" s="33">
        <f>F!D263</f>
        <v>0</v>
      </c>
      <c r="E103" s="321">
        <v>5</v>
      </c>
      <c r="F103" s="187">
        <f>D103*E103</f>
        <v>0</v>
      </c>
      <c r="G103" s="383"/>
      <c r="H103" s="1670"/>
      <c r="I103" s="1670"/>
    </row>
    <row r="104" spans="1:9" ht="15" customHeight="1" x14ac:dyDescent="0.2">
      <c r="A104" s="1670"/>
      <c r="B104" s="1670"/>
      <c r="C104" s="244" t="str">
        <f>F!C264</f>
        <v xml:space="preserve">Yes, and created or expanded 20 - 100 years ago. </v>
      </c>
      <c r="D104" s="33">
        <f>F!D264</f>
        <v>0</v>
      </c>
      <c r="E104" s="321">
        <v>2</v>
      </c>
      <c r="F104" s="187">
        <f>D104*E104</f>
        <v>0</v>
      </c>
      <c r="G104" s="384"/>
      <c r="H104" s="1670"/>
      <c r="I104" s="1670"/>
    </row>
    <row r="105" spans="1:9" ht="15" customHeight="1" x14ac:dyDescent="0.2">
      <c r="A105" s="1670"/>
      <c r="B105" s="1670"/>
      <c r="C105" s="244" t="str">
        <f>F!C265</f>
        <v>Yes, and created or expanded 3-20 years ago.</v>
      </c>
      <c r="D105" s="33">
        <f>F!D265</f>
        <v>0</v>
      </c>
      <c r="E105" s="321">
        <v>1</v>
      </c>
      <c r="F105" s="187">
        <f>D105*E105</f>
        <v>0</v>
      </c>
      <c r="G105" s="384"/>
      <c r="H105" s="1670"/>
      <c r="I105" s="1670"/>
    </row>
    <row r="106" spans="1:9" ht="15" customHeight="1" x14ac:dyDescent="0.2">
      <c r="A106" s="1670"/>
      <c r="B106" s="1670"/>
      <c r="C106" s="244" t="str">
        <f>F!C266</f>
        <v>Yes, and created or expanded within last 3 years.</v>
      </c>
      <c r="D106" s="33">
        <f>F!D266</f>
        <v>0</v>
      </c>
      <c r="E106" s="321">
        <v>0</v>
      </c>
      <c r="F106" s="187">
        <f>D106*E106</f>
        <v>0</v>
      </c>
      <c r="G106" s="384"/>
      <c r="H106" s="1670"/>
      <c r="I106" s="1670"/>
    </row>
    <row r="107" spans="1:9" ht="15" customHeight="1" x14ac:dyDescent="0.2">
      <c r="A107" s="1670"/>
      <c r="B107" s="1670"/>
      <c r="C107" s="244" t="str">
        <f>F!C267</f>
        <v>Yes, but time of origin or expansion unknown.</v>
      </c>
      <c r="D107" s="33">
        <f>F!D267</f>
        <v>0</v>
      </c>
      <c r="E107" s="321">
        <v>1</v>
      </c>
      <c r="F107" s="187">
        <f>D107*E107</f>
        <v>0</v>
      </c>
      <c r="G107" s="384"/>
      <c r="H107" s="1670"/>
      <c r="I107" s="1670"/>
    </row>
    <row r="108" spans="1:9" ht="15" customHeight="1" thickBot="1" x14ac:dyDescent="0.25">
      <c r="A108" s="1671"/>
      <c r="B108" s="1671"/>
      <c r="C108" s="242" t="str">
        <f>F!C268</f>
        <v>Unknown if new or expanded within 20 years or not.</v>
      </c>
      <c r="D108" s="84">
        <f>F!D268</f>
        <v>0</v>
      </c>
      <c r="E108" s="204"/>
      <c r="F108" s="216"/>
      <c r="G108" s="385"/>
      <c r="H108" s="1671"/>
      <c r="I108" s="1671"/>
    </row>
    <row r="109" spans="1:9" ht="21" customHeight="1" thickBot="1" x14ac:dyDescent="0.25">
      <c r="A109" s="1981"/>
      <c r="B109" s="1981"/>
      <c r="C109" s="1981"/>
      <c r="D109" s="1981"/>
      <c r="E109" s="1981"/>
      <c r="F109" s="1981"/>
      <c r="G109" s="1981"/>
      <c r="H109" s="1981"/>
      <c r="I109" s="703"/>
    </row>
    <row r="110" spans="1:9" ht="21" customHeight="1" x14ac:dyDescent="0.2">
      <c r="A110" s="1982"/>
      <c r="B110" s="1982"/>
      <c r="C110" s="1982"/>
      <c r="D110" s="1889" t="s">
        <v>1138</v>
      </c>
      <c r="E110" s="1890"/>
      <c r="F110" s="1890"/>
      <c r="G110" s="916">
        <f>AVERAGE(SoilTex6,NewWet6)</f>
        <v>0</v>
      </c>
      <c r="H110" s="1039" t="s">
        <v>2077</v>
      </c>
      <c r="I110" s="1040" t="s">
        <v>2121</v>
      </c>
    </row>
    <row r="111" spans="1:9" ht="21" customHeight="1" x14ac:dyDescent="0.2">
      <c r="A111" s="1982"/>
      <c r="B111" s="1982"/>
      <c r="C111" s="1982"/>
      <c r="D111" s="1983" t="s">
        <v>1139</v>
      </c>
      <c r="E111" s="1984"/>
      <c r="F111" s="1984"/>
      <c r="G111" s="917">
        <f>AVERAGE(FrozDur6,PlantCov6,NutrAvail6)</f>
        <v>0</v>
      </c>
      <c r="H111" s="1016" t="s">
        <v>1140</v>
      </c>
      <c r="I111" s="1031" t="s">
        <v>2122</v>
      </c>
    </row>
    <row r="112" spans="1:9" ht="21" customHeight="1" x14ac:dyDescent="0.2">
      <c r="A112" s="1982"/>
      <c r="B112" s="1982"/>
      <c r="C112" s="1982"/>
      <c r="D112" s="1976" t="s">
        <v>1126</v>
      </c>
      <c r="E112" s="1977"/>
      <c r="F112" s="1977"/>
      <c r="G112" s="917">
        <f>AVERAGE(Warmth6,Groundw6)</f>
        <v>0</v>
      </c>
      <c r="H112" s="1016" t="s">
        <v>2188</v>
      </c>
      <c r="I112" s="1031" t="s">
        <v>2123</v>
      </c>
    </row>
    <row r="113" spans="1:9" ht="21" customHeight="1" x14ac:dyDescent="0.2">
      <c r="A113" s="1982"/>
      <c r="B113" s="1982"/>
      <c r="C113" s="1982"/>
      <c r="D113" s="1976" t="s">
        <v>1149</v>
      </c>
      <c r="E113" s="1977"/>
      <c r="F113" s="1977"/>
      <c r="G113" s="917">
        <f>AVERAGE(AqPlantCov6,Gcover6, Depth6)</f>
        <v>0</v>
      </c>
      <c r="H113" s="1016" t="s">
        <v>1148</v>
      </c>
      <c r="I113" s="1031" t="s">
        <v>2124</v>
      </c>
    </row>
    <row r="114" spans="1:9" ht="21" customHeight="1" x14ac:dyDescent="0.2">
      <c r="A114" s="1982"/>
      <c r="B114" s="1982"/>
      <c r="C114" s="1982"/>
      <c r="D114" s="1976" t="s">
        <v>1127</v>
      </c>
      <c r="E114" s="1977"/>
      <c r="F114" s="1977"/>
      <c r="G114" s="917">
        <f>AVERAGE(Wettype6,SeasWpct6, Fluctu6, Nfixer6)</f>
        <v>0</v>
      </c>
      <c r="H114" s="1034" t="s">
        <v>2478</v>
      </c>
      <c r="I114" s="1031" t="s">
        <v>2125</v>
      </c>
    </row>
    <row r="115" spans="1:9" ht="30" customHeight="1" thickBot="1" x14ac:dyDescent="0.25">
      <c r="A115" s="1982"/>
      <c r="B115" s="1982"/>
      <c r="C115" s="1982"/>
      <c r="D115" s="1948" t="s">
        <v>1128</v>
      </c>
      <c r="E115" s="1949"/>
      <c r="F115" s="1949"/>
      <c r="G115" s="918">
        <f>AVERAGE(OutDura6, Gradient6, FloDist6,AVERAGE(Constric6, ThruFlo6, Interspers6,VwidthAbs6, PondedPct6))</f>
        <v>0</v>
      </c>
      <c r="H115" s="1032" t="s">
        <v>2186</v>
      </c>
      <c r="I115" s="1033" t="s">
        <v>2126</v>
      </c>
    </row>
    <row r="116" spans="1:9" ht="21" customHeight="1" thickBot="1" x14ac:dyDescent="0.25">
      <c r="A116" s="1982"/>
      <c r="B116" s="1982"/>
      <c r="C116" s="1982"/>
      <c r="D116" s="626"/>
      <c r="E116" s="626"/>
      <c r="F116" s="626"/>
      <c r="G116" s="626"/>
    </row>
    <row r="117" spans="1:9" ht="30" customHeight="1" thickBot="1" x14ac:dyDescent="0.25">
      <c r="A117" s="1841"/>
      <c r="B117" s="1871"/>
      <c r="C117" s="1838" t="s">
        <v>1169</v>
      </c>
      <c r="D117" s="1839"/>
      <c r="E117" s="1840"/>
      <c r="F117" s="915" t="s">
        <v>52</v>
      </c>
      <c r="G117" s="914">
        <f>10*(IF((OR(OutNone1,OutNone)=1),0,(3*ExportPot6 + 2*Productiv6 + HistAccum6)))/6</f>
        <v>0</v>
      </c>
      <c r="H117" s="1807" t="s">
        <v>2454</v>
      </c>
      <c r="I117" s="1808"/>
    </row>
    <row r="118" spans="1:9" ht="21" customHeight="1" thickBot="1" x14ac:dyDescent="0.25">
      <c r="A118" s="13"/>
      <c r="B118" s="13"/>
      <c r="C118" s="743"/>
      <c r="D118" s="743"/>
      <c r="E118" s="743"/>
      <c r="F118" s="744"/>
      <c r="G118" s="396"/>
    </row>
    <row r="119" spans="1:9" ht="21" customHeight="1" thickBot="1" x14ac:dyDescent="0.25">
      <c r="A119" s="2"/>
      <c r="D119" s="2"/>
      <c r="E119" s="2"/>
      <c r="F119" s="2"/>
      <c r="G119" s="2"/>
      <c r="H119" s="1879" t="s">
        <v>669</v>
      </c>
      <c r="I119" s="1880"/>
    </row>
    <row r="120" spans="1:9" ht="42" customHeight="1" x14ac:dyDescent="0.2">
      <c r="A120" s="2"/>
      <c r="D120" s="2"/>
      <c r="E120" s="2"/>
      <c r="F120" s="2"/>
      <c r="G120" s="2"/>
      <c r="H120" s="1966" t="s">
        <v>792</v>
      </c>
      <c r="I120" s="1967"/>
    </row>
    <row r="121" spans="1:9" ht="42" customHeight="1" x14ac:dyDescent="0.2">
      <c r="A121" s="2"/>
      <c r="D121" s="2"/>
      <c r="E121" s="2"/>
      <c r="F121" s="2"/>
      <c r="G121" s="2"/>
      <c r="H121" s="1792" t="s">
        <v>718</v>
      </c>
      <c r="I121" s="1793"/>
    </row>
    <row r="122" spans="1:9" ht="27" customHeight="1" x14ac:dyDescent="0.2">
      <c r="A122" s="2"/>
      <c r="D122" s="2"/>
      <c r="E122" s="2"/>
      <c r="F122" s="2"/>
      <c r="G122" s="2"/>
      <c r="H122" s="1792" t="s">
        <v>719</v>
      </c>
      <c r="I122" s="1793"/>
    </row>
    <row r="123" spans="1:9" ht="27" customHeight="1" x14ac:dyDescent="0.2">
      <c r="A123" s="2"/>
      <c r="D123" s="2"/>
      <c r="E123" s="2"/>
      <c r="F123" s="2"/>
      <c r="G123" s="2"/>
      <c r="H123" s="1792" t="s">
        <v>1368</v>
      </c>
      <c r="I123" s="1793"/>
    </row>
    <row r="124" spans="1:9" ht="42" customHeight="1" x14ac:dyDescent="0.2">
      <c r="A124" s="2"/>
      <c r="D124" s="2"/>
      <c r="E124" s="2"/>
      <c r="F124" s="2"/>
      <c r="G124" s="2"/>
      <c r="H124" s="1792" t="s">
        <v>750</v>
      </c>
      <c r="I124" s="1793"/>
    </row>
    <row r="125" spans="1:9" ht="27" customHeight="1" x14ac:dyDescent="0.2">
      <c r="A125" s="2"/>
      <c r="D125" s="2"/>
      <c r="E125" s="2"/>
      <c r="F125" s="2"/>
      <c r="G125" s="2"/>
      <c r="H125" s="1792" t="s">
        <v>1515</v>
      </c>
      <c r="I125" s="1793"/>
    </row>
    <row r="126" spans="1:9" ht="42" customHeight="1" x14ac:dyDescent="0.2">
      <c r="A126" s="2"/>
      <c r="D126" s="2"/>
      <c r="E126" s="2"/>
      <c r="F126" s="2"/>
      <c r="G126" s="2"/>
      <c r="H126" s="1792" t="s">
        <v>793</v>
      </c>
      <c r="I126" s="1793"/>
    </row>
    <row r="127" spans="1:9" ht="42" customHeight="1" x14ac:dyDescent="0.2">
      <c r="A127" s="2"/>
      <c r="D127" s="2"/>
      <c r="E127" s="2"/>
      <c r="F127" s="2"/>
      <c r="G127" s="2"/>
      <c r="H127" s="1796" t="s">
        <v>1511</v>
      </c>
      <c r="I127" s="1797"/>
    </row>
    <row r="128" spans="1:9" ht="27" customHeight="1" x14ac:dyDescent="0.2">
      <c r="A128" s="2"/>
      <c r="D128" s="2"/>
      <c r="E128" s="2"/>
      <c r="F128" s="2"/>
      <c r="G128" s="2"/>
      <c r="H128" s="1792" t="s">
        <v>1512</v>
      </c>
      <c r="I128" s="1793"/>
    </row>
    <row r="129" spans="1:9" ht="27" customHeight="1" x14ac:dyDescent="0.2">
      <c r="A129" s="2"/>
      <c r="D129" s="2"/>
      <c r="E129" s="2"/>
      <c r="F129" s="2"/>
      <c r="G129" s="2"/>
      <c r="H129" s="1792" t="s">
        <v>794</v>
      </c>
      <c r="I129" s="1793"/>
    </row>
    <row r="130" spans="1:9" ht="27" customHeight="1" x14ac:dyDescent="0.2">
      <c r="A130" s="2"/>
      <c r="D130" s="2"/>
      <c r="E130" s="2"/>
      <c r="F130" s="2"/>
      <c r="G130" s="2"/>
      <c r="H130" s="1792" t="s">
        <v>1087</v>
      </c>
      <c r="I130" s="1793"/>
    </row>
    <row r="131" spans="1:9" ht="27" customHeight="1" x14ac:dyDescent="0.2">
      <c r="A131" s="2"/>
      <c r="D131" s="2"/>
      <c r="E131" s="2"/>
      <c r="F131" s="2"/>
      <c r="G131" s="2"/>
      <c r="H131" s="1792" t="s">
        <v>1513</v>
      </c>
      <c r="I131" s="1793"/>
    </row>
    <row r="132" spans="1:9" ht="42" customHeight="1" x14ac:dyDescent="0.2">
      <c r="A132" s="2"/>
      <c r="D132" s="2"/>
      <c r="E132" s="2"/>
      <c r="F132" s="2"/>
      <c r="G132" s="2"/>
      <c r="H132" s="1792" t="s">
        <v>1367</v>
      </c>
      <c r="I132" s="1793"/>
    </row>
    <row r="133" spans="1:9" ht="21" customHeight="1" x14ac:dyDescent="0.2">
      <c r="A133" s="2"/>
      <c r="D133" s="2"/>
      <c r="E133" s="2"/>
      <c r="F133" s="2"/>
      <c r="G133" s="2"/>
      <c r="H133" s="1792" t="s">
        <v>758</v>
      </c>
      <c r="I133" s="1793"/>
    </row>
    <row r="134" spans="1:9" ht="57" customHeight="1" x14ac:dyDescent="0.2">
      <c r="A134" s="2"/>
      <c r="D134" s="2"/>
      <c r="E134" s="2"/>
      <c r="F134" s="2"/>
      <c r="G134" s="2"/>
      <c r="H134" s="1792" t="s">
        <v>1451</v>
      </c>
      <c r="I134" s="1793"/>
    </row>
    <row r="135" spans="1:9" ht="27" customHeight="1" x14ac:dyDescent="0.2">
      <c r="A135" s="2"/>
      <c r="D135" s="2"/>
      <c r="E135" s="2"/>
      <c r="F135" s="2"/>
      <c r="G135" s="2"/>
      <c r="H135" s="1792" t="s">
        <v>930</v>
      </c>
      <c r="I135" s="1793"/>
    </row>
    <row r="136" spans="1:9" ht="42" customHeight="1" x14ac:dyDescent="0.2">
      <c r="A136" s="2"/>
      <c r="D136" s="2"/>
      <c r="E136" s="2"/>
      <c r="F136" s="2"/>
      <c r="G136" s="2"/>
      <c r="H136" s="1792" t="s">
        <v>1088</v>
      </c>
      <c r="I136" s="1793"/>
    </row>
    <row r="137" spans="1:9" ht="27" customHeight="1" x14ac:dyDescent="0.2">
      <c r="A137" s="2"/>
      <c r="D137" s="2"/>
      <c r="E137" s="2"/>
      <c r="F137" s="2"/>
      <c r="G137" s="2"/>
      <c r="H137" s="1792" t="s">
        <v>1412</v>
      </c>
      <c r="I137" s="1793"/>
    </row>
    <row r="138" spans="1:9" ht="57" customHeight="1" thickBot="1" x14ac:dyDescent="0.25">
      <c r="A138" s="2"/>
      <c r="D138" s="2"/>
      <c r="E138" s="2"/>
      <c r="F138" s="2"/>
      <c r="G138" s="2"/>
      <c r="H138" s="1794" t="s">
        <v>1514</v>
      </c>
      <c r="I138" s="1795"/>
    </row>
    <row r="139" spans="1:9" x14ac:dyDescent="0.2">
      <c r="A139" s="2"/>
      <c r="D139" s="2"/>
      <c r="E139" s="2"/>
      <c r="F139" s="2"/>
      <c r="G139" s="2"/>
    </row>
    <row r="140" spans="1:9" x14ac:dyDescent="0.2">
      <c r="A140" s="2"/>
      <c r="D140" s="2"/>
      <c r="E140" s="2"/>
      <c r="F140" s="2"/>
      <c r="G140" s="2"/>
    </row>
    <row r="141" spans="1:9" x14ac:dyDescent="0.2">
      <c r="A141" s="2"/>
      <c r="D141" s="2"/>
      <c r="E141" s="2"/>
      <c r="F141" s="2"/>
      <c r="G141" s="2"/>
    </row>
    <row r="142" spans="1:9" x14ac:dyDescent="0.2">
      <c r="A142" s="2"/>
      <c r="D142" s="2"/>
      <c r="E142" s="2"/>
      <c r="F142" s="2"/>
      <c r="G142" s="2"/>
    </row>
    <row r="143" spans="1:9" x14ac:dyDescent="0.2">
      <c r="A143" s="2"/>
      <c r="D143" s="2"/>
      <c r="E143" s="2"/>
      <c r="F143" s="2"/>
      <c r="G143" s="2"/>
    </row>
    <row r="144" spans="1:9" x14ac:dyDescent="0.2">
      <c r="A144" s="2"/>
      <c r="D144" s="2"/>
      <c r="E144" s="2"/>
      <c r="F144" s="2"/>
      <c r="G144" s="2"/>
    </row>
  </sheetData>
  <sheetProtection algorithmName="SHA-512" hashValue="PIlHcRUC6bGgeA2CIlRcUkJG/W3nOxcADuWSQfGCv+5lqn1qaLsVbnnkMAlk8WtZLDOhS02tmnsSWn1cNxRbjA==" saltValue="uWPuoUOeGZG2CG7d508Mvw==" spinCount="100000" sheet="1" formatCells="0" formatColumns="0" formatRows="0"/>
  <customSheetViews>
    <customSheetView guid="{B8E02330-2419-4DE6-AD01-7ACC7A5D18DD}" scale="75">
      <selection activeCell="H127" sqref="A2:H127"/>
      <pageMargins left="0.75" right="0.75" top="1" bottom="1" header="0.5" footer="0.5"/>
      <pageSetup orientation="portrait" r:id="rId1"/>
      <headerFooter alignWithMargins="0"/>
    </customSheetView>
  </customSheetViews>
  <mergeCells count="105">
    <mergeCell ref="H127:I127"/>
    <mergeCell ref="H117:I117"/>
    <mergeCell ref="H119:I119"/>
    <mergeCell ref="H120:I120"/>
    <mergeCell ref="H121:I121"/>
    <mergeCell ref="H122:I122"/>
    <mergeCell ref="H138:I138"/>
    <mergeCell ref="H133:I133"/>
    <mergeCell ref="H134:I134"/>
    <mergeCell ref="H135:I135"/>
    <mergeCell ref="H136:I136"/>
    <mergeCell ref="H137:I137"/>
    <mergeCell ref="H128:I128"/>
    <mergeCell ref="H129:I129"/>
    <mergeCell ref="H130:I130"/>
    <mergeCell ref="H131:I131"/>
    <mergeCell ref="H132:I132"/>
    <mergeCell ref="I77:I82"/>
    <mergeCell ref="I83:I86"/>
    <mergeCell ref="I87:I92"/>
    <mergeCell ref="I93:I96"/>
    <mergeCell ref="I18:I23"/>
    <mergeCell ref="H123:I123"/>
    <mergeCell ref="H124:I124"/>
    <mergeCell ref="H125:I125"/>
    <mergeCell ref="H126:I126"/>
    <mergeCell ref="I102:I108"/>
    <mergeCell ref="H83:H86"/>
    <mergeCell ref="I47:I52"/>
    <mergeCell ref="I59:I65"/>
    <mergeCell ref="I66:I72"/>
    <mergeCell ref="I73:I76"/>
    <mergeCell ref="H18:H23"/>
    <mergeCell ref="I53:I58"/>
    <mergeCell ref="I35:I40"/>
    <mergeCell ref="I41:I46"/>
    <mergeCell ref="H29:H34"/>
    <mergeCell ref="H53:H58"/>
    <mergeCell ref="A117:B117"/>
    <mergeCell ref="D109:H109"/>
    <mergeCell ref="H66:H72"/>
    <mergeCell ref="H47:H52"/>
    <mergeCell ref="H73:H76"/>
    <mergeCell ref="D114:F114"/>
    <mergeCell ref="C117:E117"/>
    <mergeCell ref="D115:F115"/>
    <mergeCell ref="H87:H92"/>
    <mergeCell ref="A93:A96"/>
    <mergeCell ref="A87:A92"/>
    <mergeCell ref="B102:B108"/>
    <mergeCell ref="H102:H108"/>
    <mergeCell ref="A77:A82"/>
    <mergeCell ref="A73:A76"/>
    <mergeCell ref="B47:B52"/>
    <mergeCell ref="B73:B76"/>
    <mergeCell ref="D111:F111"/>
    <mergeCell ref="D112:F112"/>
    <mergeCell ref="H97:H101"/>
    <mergeCell ref="B97:B101"/>
    <mergeCell ref="H93:H96"/>
    <mergeCell ref="E1:I1"/>
    <mergeCell ref="I97:I101"/>
    <mergeCell ref="I3:I9"/>
    <mergeCell ref="D113:F113"/>
    <mergeCell ref="A3:A9"/>
    <mergeCell ref="A97:A101"/>
    <mergeCell ref="A53:A58"/>
    <mergeCell ref="B53:B58"/>
    <mergeCell ref="B35:B40"/>
    <mergeCell ref="H24:H28"/>
    <mergeCell ref="B11:B17"/>
    <mergeCell ref="B29:B34"/>
    <mergeCell ref="B93:B96"/>
    <mergeCell ref="B83:B86"/>
    <mergeCell ref="A109:C116"/>
    <mergeCell ref="B87:B92"/>
    <mergeCell ref="A83:A86"/>
    <mergeCell ref="D110:F110"/>
    <mergeCell ref="A102:A108"/>
    <mergeCell ref="A11:A17"/>
    <mergeCell ref="A1:B1"/>
    <mergeCell ref="I11:I17"/>
    <mergeCell ref="I24:I28"/>
    <mergeCell ref="I29:I34"/>
    <mergeCell ref="B3:B9"/>
    <mergeCell ref="H3:H9"/>
    <mergeCell ref="B41:B46"/>
    <mergeCell ref="B77:B82"/>
    <mergeCell ref="H35:H40"/>
    <mergeCell ref="H41:H46"/>
    <mergeCell ref="A47:A52"/>
    <mergeCell ref="B59:B65"/>
    <mergeCell ref="H59:H65"/>
    <mergeCell ref="H77:H82"/>
    <mergeCell ref="B66:B72"/>
    <mergeCell ref="B18:B23"/>
    <mergeCell ref="A18:A23"/>
    <mergeCell ref="A41:A46"/>
    <mergeCell ref="A35:A40"/>
    <mergeCell ref="A24:A28"/>
    <mergeCell ref="H11:H17"/>
    <mergeCell ref="A59:A65"/>
    <mergeCell ref="A66:A72"/>
    <mergeCell ref="A29:A34"/>
    <mergeCell ref="B24:B28"/>
  </mergeCells>
  <phoneticPr fontId="3" type="noConversion"/>
  <pageMargins left="0.75" right="0.75" top="1" bottom="1" header="0.5" footer="0.5"/>
  <pageSetup orientation="portrait" r:id="rId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J331"/>
  <sheetViews>
    <sheetView zoomScaleNormal="100" workbookViewId="0">
      <selection sqref="A1:B1"/>
    </sheetView>
  </sheetViews>
  <sheetFormatPr defaultColWidth="9.33203125" defaultRowHeight="16.5" x14ac:dyDescent="0.2"/>
  <cols>
    <col min="1" max="1" width="5.83203125" style="24" customWidth="1"/>
    <col min="2" max="2" width="18.83203125" style="5" customWidth="1"/>
    <col min="3" max="3" width="75.83203125" style="2" customWidth="1"/>
    <col min="4" max="6" width="7.83203125" style="75" customWidth="1"/>
    <col min="7" max="7" width="9.5" style="74" customWidth="1"/>
    <col min="8" max="8" width="64.83203125" style="10" customWidth="1"/>
    <col min="9" max="9" width="9.83203125" style="5" customWidth="1"/>
    <col min="10" max="10" width="9.33203125" style="58"/>
    <col min="11" max="16384" width="9.33203125" style="5"/>
  </cols>
  <sheetData>
    <row r="1" spans="1:10" s="1419" customFormat="1" ht="72" customHeight="1" thickBot="1" x14ac:dyDescent="0.25">
      <c r="A1" s="1860" t="s">
        <v>1357</v>
      </c>
      <c r="B1" s="1861"/>
      <c r="C1" s="1393" t="s">
        <v>2560</v>
      </c>
      <c r="D1" s="1420" t="s">
        <v>1068</v>
      </c>
      <c r="E1" s="1994"/>
      <c r="F1" s="1995"/>
      <c r="G1" s="1995"/>
      <c r="H1" s="1995"/>
      <c r="I1" s="1995"/>
    </row>
    <row r="2" spans="1:10" s="56" customFormat="1" ht="36" customHeight="1" thickBot="1" x14ac:dyDescent="0.25">
      <c r="A2" s="861" t="s">
        <v>88</v>
      </c>
      <c r="B2" s="833" t="s">
        <v>1424</v>
      </c>
      <c r="C2" s="862" t="s">
        <v>1164</v>
      </c>
      <c r="D2" s="833" t="s">
        <v>45</v>
      </c>
      <c r="E2" s="904" t="s">
        <v>1188</v>
      </c>
      <c r="F2" s="905" t="s">
        <v>2583</v>
      </c>
      <c r="G2" s="906" t="s">
        <v>2558</v>
      </c>
      <c r="H2" s="833" t="s">
        <v>1117</v>
      </c>
      <c r="I2" s="895" t="s">
        <v>2427</v>
      </c>
    </row>
    <row r="3" spans="1:10" s="2" customFormat="1" ht="21" customHeight="1" thickBot="1" x14ac:dyDescent="0.25">
      <c r="A3" s="1703" t="str">
        <f>OF!A79</f>
        <v>OF15</v>
      </c>
      <c r="B3" s="1985" t="str">
        <f>OF!B79</f>
        <v>Tidal Proximity</v>
      </c>
      <c r="C3" s="184" t="str">
        <f>OF!C79</f>
        <v>The distance from the AA edge to the closest tidal water body (regardless of its salinity) is:</v>
      </c>
      <c r="D3" s="186"/>
      <c r="E3" s="186"/>
      <c r="F3" s="186"/>
      <c r="G3" s="930">
        <f>MAX(F4:F9)/MAX(E4:E9)</f>
        <v>0</v>
      </c>
      <c r="H3" s="1670" t="s">
        <v>2189</v>
      </c>
      <c r="I3" s="1669" t="s">
        <v>133</v>
      </c>
      <c r="J3" s="56"/>
    </row>
    <row r="4" spans="1:10" s="2" customFormat="1" ht="15" customHeight="1" x14ac:dyDescent="0.2">
      <c r="A4" s="1703"/>
      <c r="B4" s="1985"/>
      <c r="C4" s="243" t="str">
        <f>OF!C80</f>
        <v>&lt;100 m.</v>
      </c>
      <c r="D4" s="129">
        <f>OF!D80</f>
        <v>0</v>
      </c>
      <c r="E4" s="187">
        <v>5</v>
      </c>
      <c r="F4" s="187">
        <f t="shared" ref="F4:F9" si="0">D4*E4</f>
        <v>0</v>
      </c>
      <c r="G4" s="384"/>
      <c r="H4" s="1670"/>
      <c r="I4" s="1670"/>
      <c r="J4" s="56"/>
    </row>
    <row r="5" spans="1:10" s="2" customFormat="1" ht="15" customHeight="1" x14ac:dyDescent="0.2">
      <c r="A5" s="1703"/>
      <c r="B5" s="1985"/>
      <c r="C5" s="244" t="str">
        <f>OF!C81</f>
        <v>100 m - 1 km.</v>
      </c>
      <c r="D5" s="33">
        <f>OF!D81</f>
        <v>0</v>
      </c>
      <c r="E5" s="187">
        <v>5</v>
      </c>
      <c r="F5" s="187">
        <f t="shared" si="0"/>
        <v>0</v>
      </c>
      <c r="G5" s="384"/>
      <c r="H5" s="1670"/>
      <c r="I5" s="1670"/>
      <c r="J5" s="56"/>
    </row>
    <row r="6" spans="1:10" s="2" customFormat="1" ht="15" customHeight="1" x14ac:dyDescent="0.2">
      <c r="A6" s="1703"/>
      <c r="B6" s="1985"/>
      <c r="C6" s="244" t="str">
        <f>OF!C82</f>
        <v>1 - 5 km.</v>
      </c>
      <c r="D6" s="33">
        <f>OF!D82</f>
        <v>0</v>
      </c>
      <c r="E6" s="187">
        <v>4</v>
      </c>
      <c r="F6" s="187">
        <f t="shared" si="0"/>
        <v>0</v>
      </c>
      <c r="G6" s="384"/>
      <c r="H6" s="1670"/>
      <c r="I6" s="1670"/>
      <c r="J6" s="56"/>
    </row>
    <row r="7" spans="1:10" s="2" customFormat="1" ht="15" customHeight="1" x14ac:dyDescent="0.2">
      <c r="A7" s="1703"/>
      <c r="B7" s="1985"/>
      <c r="C7" s="244" t="str">
        <f>OF!C83</f>
        <v>5-10 km.</v>
      </c>
      <c r="D7" s="33">
        <f>OF!D83</f>
        <v>0</v>
      </c>
      <c r="E7" s="187">
        <v>3</v>
      </c>
      <c r="F7" s="187">
        <f t="shared" si="0"/>
        <v>0</v>
      </c>
      <c r="G7" s="384"/>
      <c r="H7" s="1670"/>
      <c r="I7" s="1670"/>
      <c r="J7" s="56"/>
    </row>
    <row r="8" spans="1:10" s="2" customFormat="1" ht="15" customHeight="1" x14ac:dyDescent="0.2">
      <c r="A8" s="1703"/>
      <c r="B8" s="1985"/>
      <c r="C8" s="244" t="str">
        <f>OF!C84</f>
        <v>10-40 km.</v>
      </c>
      <c r="D8" s="33">
        <f>OF!D84</f>
        <v>0</v>
      </c>
      <c r="E8" s="187">
        <v>2</v>
      </c>
      <c r="F8" s="187">
        <f t="shared" si="0"/>
        <v>0</v>
      </c>
      <c r="G8" s="384"/>
      <c r="H8" s="1670"/>
      <c r="I8" s="1670"/>
      <c r="J8" s="56"/>
    </row>
    <row r="9" spans="1:10" s="2" customFormat="1" ht="15" customHeight="1" thickBot="1" x14ac:dyDescent="0.25">
      <c r="A9" s="1722"/>
      <c r="B9" s="1986"/>
      <c r="C9" s="182" t="str">
        <f>OF!C85</f>
        <v>&gt;40 km.</v>
      </c>
      <c r="D9" s="128">
        <f>OF!D85</f>
        <v>0</v>
      </c>
      <c r="E9" s="190">
        <v>0</v>
      </c>
      <c r="F9" s="190">
        <f t="shared" si="0"/>
        <v>0</v>
      </c>
      <c r="G9" s="391"/>
      <c r="H9" s="1670"/>
      <c r="I9" s="1671"/>
      <c r="J9" s="56"/>
    </row>
    <row r="10" spans="1:10" s="2" customFormat="1" ht="60" customHeight="1" thickBot="1" x14ac:dyDescent="0.25">
      <c r="A10" s="283" t="str">
        <f>OF!A97</f>
        <v>OF18</v>
      </c>
      <c r="B10" s="36" t="str">
        <f>OF!B97</f>
        <v>Relative Elevation in Watershed</v>
      </c>
      <c r="C10" s="965" t="str">
        <f>OF!C97</f>
        <v>In Google Earth, enable the Terrain layer (lower left menu) and open the NB_Watersheds KMZ file that accompanies this calculator. Then determine the AA's approximate elevation (bottom right, NOT the "eye alt").  Then move cursor around to determine the watershed's maximum and minimum elevation.  Divide the AA's elevation by the (max-min).</v>
      </c>
      <c r="D10" s="210"/>
      <c r="E10" s="210"/>
      <c r="F10" s="210"/>
      <c r="G10" s="288">
        <f>1-ShedPos</f>
        <v>1</v>
      </c>
      <c r="H10" s="1336" t="s">
        <v>2575</v>
      </c>
      <c r="I10" s="36" t="s">
        <v>2479</v>
      </c>
      <c r="J10" s="56"/>
    </row>
    <row r="11" spans="1:10" s="2" customFormat="1" ht="45" customHeight="1" thickBot="1" x14ac:dyDescent="0.25">
      <c r="A11" s="1987" t="str">
        <f>OF!A99</f>
        <v>OF20</v>
      </c>
      <c r="B11" s="1670" t="str">
        <f>OF!B99</f>
        <v xml:space="preserve">Degraded Water Upstream </v>
      </c>
      <c r="C11" s="184" t="str">
        <f>OF!C99</f>
        <v xml:space="preserve">Sampling indicates a problem with concentrations of metals, hydrocarbons, nutrients, or other substances (excluding bacteria, acidic water, high temperatures) being present at levels harmful to aquatic life or humans, and:  </v>
      </c>
      <c r="D11" s="186"/>
      <c r="E11" s="186"/>
      <c r="F11" s="189"/>
      <c r="G11" s="328">
        <f>IF((D15=1),"", IF((D14=1),1, IF((D13=1),0.2, 0)))</f>
        <v>0</v>
      </c>
      <c r="H11" s="1670" t="s">
        <v>1516</v>
      </c>
      <c r="I11" s="1670" t="s">
        <v>414</v>
      </c>
      <c r="J11" s="56"/>
    </row>
    <row r="12" spans="1:10" s="2" customFormat="1" ht="15" customHeight="1" x14ac:dyDescent="0.2">
      <c r="A12" s="1921"/>
      <c r="B12" s="1670"/>
      <c r="C12" s="1324" t="str">
        <f>OF!C100</f>
        <v>The condition is present within the AA.</v>
      </c>
      <c r="D12" s="129">
        <f>OF!D100</f>
        <v>0</v>
      </c>
      <c r="E12" s="186"/>
      <c r="F12" s="187"/>
      <c r="G12" s="383"/>
      <c r="H12" s="1670"/>
      <c r="I12" s="1670"/>
      <c r="J12" s="56"/>
    </row>
    <row r="13" spans="1:10" s="2" customFormat="1" ht="27" customHeight="1" x14ac:dyDescent="0.2">
      <c r="A13" s="1921"/>
      <c r="B13" s="1670"/>
      <c r="C13" s="1324" t="str">
        <f>OF!C101</f>
        <v>The condition is present in waters within 1 km that flow into the AA, but has not been documented in the AA itself.</v>
      </c>
      <c r="D13" s="129">
        <f>OF!D101</f>
        <v>0</v>
      </c>
      <c r="E13" s="186"/>
      <c r="F13" s="187"/>
      <c r="G13" s="384"/>
      <c r="H13" s="1670"/>
      <c r="I13" s="1670"/>
      <c r="J13" s="56"/>
    </row>
    <row r="14" spans="1:10" s="2" customFormat="1" ht="27" customHeight="1" x14ac:dyDescent="0.2">
      <c r="A14" s="1921"/>
      <c r="B14" s="1670"/>
      <c r="C14" s="1324" t="str">
        <f>OF!C102</f>
        <v>Sampling during both low water periods and times with high runoff (storms, snowmelt) indicates no problems in either the AA or inflowing waters.</v>
      </c>
      <c r="D14" s="129">
        <f>OF!D102</f>
        <v>0</v>
      </c>
      <c r="E14" s="186"/>
      <c r="F14" s="187"/>
      <c r="G14" s="384"/>
      <c r="H14" s="1670"/>
      <c r="I14" s="1670"/>
      <c r="J14" s="56"/>
    </row>
    <row r="15" spans="1:10" s="2" customFormat="1" ht="27" customHeight="1" thickBot="1" x14ac:dyDescent="0.25">
      <c r="A15" s="1922"/>
      <c r="B15" s="1671"/>
      <c r="C15" s="1326" t="str">
        <f>OF!C103</f>
        <v>Data are insufficient (no or inadequate sampling within 1 km, or condition exists only at &gt;1 km upstream). This is the situation for nearly all wetlands in this region.</v>
      </c>
      <c r="D15" s="151">
        <f>OF!D103</f>
        <v>0</v>
      </c>
      <c r="E15" s="201"/>
      <c r="F15" s="188"/>
      <c r="G15" s="385"/>
      <c r="H15" s="1671"/>
      <c r="I15" s="1671"/>
      <c r="J15" s="56"/>
    </row>
    <row r="16" spans="1:10" s="2" customFormat="1" ht="45" customHeight="1" thickBot="1" x14ac:dyDescent="0.25">
      <c r="A16" s="1721" t="str">
        <f>OF!A114</f>
        <v>OF23</v>
      </c>
      <c r="B16" s="1669" t="str">
        <f>OF!B114</f>
        <v>Unvegetated Surface in the Contributing Area</v>
      </c>
      <c r="C16" s="240" t="str">
        <f>OF!C114</f>
        <v>The proportion of the AA's contributing area (measured to no more than 1000 m upslope) that is comprised of buildings, roads, parking lots, other pavement, exposed bedrock, landslides, and other mostly-bare surface is about :</v>
      </c>
      <c r="D16" s="191"/>
      <c r="E16" s="191"/>
      <c r="F16" s="191"/>
      <c r="G16" s="291">
        <f>MAX(F17:F19)/MAX(E17:E19)</f>
        <v>0</v>
      </c>
      <c r="H16" s="1669" t="s">
        <v>650</v>
      </c>
      <c r="I16" s="1669" t="s">
        <v>135</v>
      </c>
      <c r="J16" s="56"/>
    </row>
    <row r="17" spans="1:10" s="2" customFormat="1" ht="15" customHeight="1" x14ac:dyDescent="0.2">
      <c r="A17" s="1703"/>
      <c r="B17" s="1670"/>
      <c r="C17" s="1324" t="str">
        <f>OF!C115</f>
        <v>&lt;10%.</v>
      </c>
      <c r="D17" s="129">
        <f>OF!D115</f>
        <v>0</v>
      </c>
      <c r="E17" s="187">
        <v>2</v>
      </c>
      <c r="F17" s="187">
        <f>D17*E17</f>
        <v>0</v>
      </c>
      <c r="G17" s="384"/>
      <c r="H17" s="1670"/>
      <c r="I17" s="1670"/>
      <c r="J17" s="56"/>
    </row>
    <row r="18" spans="1:10" s="2" customFormat="1" ht="15" customHeight="1" x14ac:dyDescent="0.2">
      <c r="A18" s="1703"/>
      <c r="B18" s="1670"/>
      <c r="C18" s="1058" t="str">
        <f>OF!C116</f>
        <v>10 to 25%.</v>
      </c>
      <c r="D18" s="33">
        <f>OF!D116</f>
        <v>0</v>
      </c>
      <c r="E18" s="187">
        <v>1</v>
      </c>
      <c r="F18" s="187">
        <f>D18*E18</f>
        <v>0</v>
      </c>
      <c r="G18" s="384"/>
      <c r="H18" s="1670"/>
      <c r="I18" s="1670"/>
      <c r="J18" s="56"/>
    </row>
    <row r="19" spans="1:10" s="2" customFormat="1" ht="15" customHeight="1" thickBot="1" x14ac:dyDescent="0.25">
      <c r="A19" s="1722"/>
      <c r="B19" s="1671"/>
      <c r="C19" s="1061" t="str">
        <f>OF!C117</f>
        <v>&gt;25%.</v>
      </c>
      <c r="D19" s="84">
        <f>OF!D117</f>
        <v>0</v>
      </c>
      <c r="E19" s="188">
        <v>0</v>
      </c>
      <c r="F19" s="188">
        <f>D19*E19</f>
        <v>0</v>
      </c>
      <c r="G19" s="385"/>
      <c r="H19" s="1671"/>
      <c r="I19" s="1671"/>
      <c r="J19" s="56"/>
    </row>
    <row r="20" spans="1:10" s="7" customFormat="1" ht="21" customHeight="1" thickBot="1" x14ac:dyDescent="0.25">
      <c r="A20" s="1721" t="str">
        <f>OF!A134</f>
        <v>OF28</v>
      </c>
      <c r="B20" s="1669" t="str">
        <f>OF!B134</f>
        <v>Fish Access or Use</v>
      </c>
      <c r="C20" s="240" t="str">
        <f>OF!C134</f>
        <v>According to agency biologists and/or your own observations, the AA. [Mark just the first choice that is true.]:</v>
      </c>
      <c r="D20" s="191"/>
      <c r="E20" s="191"/>
      <c r="F20" s="394"/>
      <c r="G20" s="327">
        <f>MAX(F21,F22)/2</f>
        <v>0</v>
      </c>
      <c r="H20" s="1669" t="s">
        <v>23</v>
      </c>
      <c r="I20" s="1669" t="s">
        <v>134</v>
      </c>
      <c r="J20" s="86"/>
    </row>
    <row r="21" spans="1:10" s="7" customFormat="1" ht="42" customHeight="1" x14ac:dyDescent="0.2">
      <c r="A21" s="1703"/>
      <c r="B21" s="1670"/>
      <c r="C21" s="1324" t="str">
        <f>OF!C135</f>
        <v>Is known to support rearing and/or spawning by Atlantic salmon or other anadromous species or eels.  In NB, consult Figure A-2 in Appendix A of the Manual.  Contact local fishery biologists, review the ACCDC report, and visit these websites: http://www.salmonatlas.com/atlanticsalmon/canada-east/index.1.html    http://atlanticsalmonfederation.org/rivers/introduction.html</v>
      </c>
      <c r="D21" s="129">
        <f>OF!D135</f>
        <v>0</v>
      </c>
      <c r="E21" s="203">
        <v>2</v>
      </c>
      <c r="F21" s="187">
        <f>D21*E21</f>
        <v>0</v>
      </c>
      <c r="G21" s="189"/>
      <c r="H21" s="1670"/>
      <c r="I21" s="1670"/>
      <c r="J21" s="86"/>
    </row>
    <row r="22" spans="1:10" s="7" customFormat="1" ht="42" customHeight="1" x14ac:dyDescent="0.2">
      <c r="A22" s="1703"/>
      <c r="B22" s="1670"/>
      <c r="C22" s="1058" t="str">
        <f>OF!C136</f>
        <v>Has not been documented to support Atlantic salmon rearing and/or spawning, but is connected to nearby waters likely to contain Atlantic salmon or other anadromous species or eels and is probably accessed by those during some conditions.</v>
      </c>
      <c r="D22" s="33">
        <f>OF!D136</f>
        <v>0</v>
      </c>
      <c r="E22" s="203">
        <v>1</v>
      </c>
      <c r="F22" s="187">
        <f>D22*E22</f>
        <v>0</v>
      </c>
      <c r="G22" s="212"/>
      <c r="H22" s="1670"/>
      <c r="I22" s="1670"/>
      <c r="J22" s="86"/>
    </row>
    <row r="23" spans="1:10" s="7" customFormat="1" ht="27" customHeight="1" x14ac:dyDescent="0.2">
      <c r="A23" s="1703"/>
      <c r="B23" s="1670"/>
      <c r="C23" s="1058" t="str">
        <f>OF!C137</f>
        <v>Is probably is not accessed by any anadromous fish species but is known or likely to have other fish at least seasonally.</v>
      </c>
      <c r="D23" s="33">
        <f>OF!D137</f>
        <v>0</v>
      </c>
      <c r="E23" s="203">
        <v>0</v>
      </c>
      <c r="F23" s="187">
        <f>D23*E23</f>
        <v>0</v>
      </c>
      <c r="G23" s="212"/>
      <c r="H23" s="1670"/>
      <c r="I23" s="1670"/>
      <c r="J23" s="86"/>
    </row>
    <row r="24" spans="1:10" s="7" customFormat="1" ht="27" customHeight="1" thickBot="1" x14ac:dyDescent="0.25">
      <c r="A24" s="1722"/>
      <c r="B24" s="1671"/>
      <c r="C24" s="1061" t="str">
        <f>OF!C138</f>
        <v xml:space="preserve">Is known or likely to be fishless (e.g., too small, dry, and/or not accessible even temporarily, and not stocked). </v>
      </c>
      <c r="D24" s="84">
        <f>OF!D138</f>
        <v>0</v>
      </c>
      <c r="E24" s="204">
        <v>0</v>
      </c>
      <c r="F24" s="188">
        <f>D24*E24</f>
        <v>0</v>
      </c>
      <c r="G24" s="216"/>
      <c r="H24" s="1671"/>
      <c r="I24" s="1671"/>
      <c r="J24" s="86"/>
    </row>
    <row r="25" spans="1:10" s="7" customFormat="1" ht="68.25" customHeight="1" thickBot="1" x14ac:dyDescent="0.25">
      <c r="A25" s="88" t="str">
        <f>OF!A152</f>
        <v>OF37</v>
      </c>
      <c r="B25" s="88" t="str">
        <f>OF!B152</f>
        <v>Calcareous Region</v>
      </c>
      <c r="C25" s="88" t="str">
        <f>OF!C152</f>
        <v xml:space="preserve">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&gt;8).See Figure A-6 in Appendix A of the Manual.  If no map coverage, change to blank.
</v>
      </c>
      <c r="D25" s="114">
        <f>IF((OF!D152=""),"",OF!D152)</f>
        <v>0</v>
      </c>
      <c r="E25" s="424"/>
      <c r="F25" s="199"/>
      <c r="G25" s="291">
        <f>IF((D25=""),"",D25/3)</f>
        <v>0</v>
      </c>
      <c r="H25" s="3" t="s">
        <v>2910</v>
      </c>
      <c r="I25" s="894" t="s">
        <v>413</v>
      </c>
      <c r="J25" s="86"/>
    </row>
    <row r="26" spans="1:10" s="2" customFormat="1" ht="27.75" customHeight="1" thickBot="1" x14ac:dyDescent="0.25">
      <c r="A26" s="1669" t="str">
        <f>F!A4</f>
        <v>F1</v>
      </c>
      <c r="B26" s="1669" t="str">
        <f>F!B4</f>
        <v>Wetland Type</v>
      </c>
      <c r="C26" s="55" t="str">
        <f>F!C4</f>
        <v>Follow the key below and mark the ONE row that best describes MOST of the vegetated part of the AA:</v>
      </c>
      <c r="D26" s="191"/>
      <c r="E26" s="752"/>
      <c r="F26" s="681"/>
      <c r="G26" s="400">
        <f>MAX(F28:F32)/MAX(E28:E32)</f>
        <v>0</v>
      </c>
      <c r="H26" s="1669" t="s">
        <v>1557</v>
      </c>
      <c r="I26" s="1669" t="s">
        <v>152</v>
      </c>
      <c r="J26" s="56"/>
    </row>
    <row r="27" spans="1:10" s="2" customFormat="1" ht="57" customHeight="1" thickBot="1" x14ac:dyDescent="0.25">
      <c r="A27" s="1670"/>
      <c r="B27" s="1670"/>
      <c r="C27" s="55" t="str">
        <f>F!C5</f>
        <v>A. Moss and/or lichen cover more than 25%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v>
      </c>
      <c r="D27" s="186"/>
      <c r="E27" s="187"/>
      <c r="F27" s="187"/>
      <c r="G27" s="186"/>
      <c r="H27" s="1925"/>
      <c r="I27" s="1670"/>
      <c r="J27" s="56"/>
    </row>
    <row r="28" spans="1:10" s="2" customFormat="1" ht="69" customHeight="1" x14ac:dyDescent="0.2">
      <c r="A28" s="1670"/>
      <c r="B28" s="1670"/>
      <c r="C28" s="51" t="str">
        <f>F!C6</f>
        <v>A1.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(Carex rariflora). Wetland surface and surrounding landscape are seldom sloping and wetland often is domed (convex). Inlet and outlet channels are usually absent.  If known, pH of peat is &lt;4.0.</v>
      </c>
      <c r="D28" s="33">
        <f>F!D6</f>
        <v>0</v>
      </c>
      <c r="E28" s="203">
        <v>0</v>
      </c>
      <c r="F28" s="187">
        <f>D28*E28</f>
        <v>0</v>
      </c>
      <c r="G28" s="418"/>
      <c r="H28" s="1670"/>
      <c r="I28" s="1670"/>
      <c r="J28" s="56"/>
    </row>
    <row r="29" spans="1:10" s="2" customFormat="1" ht="57" customHeight="1" thickBot="1" x14ac:dyDescent="0.25">
      <c r="A29" s="1670"/>
      <c r="B29" s="1670"/>
      <c r="C29" s="10" t="str">
        <f>F!C7</f>
        <v>A2.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v>
      </c>
      <c r="D29" s="33">
        <f>F!D7</f>
        <v>0</v>
      </c>
      <c r="E29" s="203">
        <v>3</v>
      </c>
      <c r="F29" s="187">
        <f>D29*E29</f>
        <v>0</v>
      </c>
      <c r="G29" s="419"/>
      <c r="H29" s="1670"/>
      <c r="I29" s="1670"/>
      <c r="J29" s="56"/>
    </row>
    <row r="30" spans="1:10" s="2" customFormat="1" ht="30" customHeight="1" thickBot="1" x14ac:dyDescent="0.25">
      <c r="A30" s="1670"/>
      <c r="B30" s="1670"/>
      <c r="C30" s="36" t="str">
        <f>F!C8</f>
        <v>B. Moss and/or lichen cover less than 25% of the ground. Soil is mineral or decomposed organic (muck). Choose between B1 and B2 and mark the choice with a 1 in their adjoining column:</v>
      </c>
      <c r="D30" s="203"/>
      <c r="E30" s="187"/>
      <c r="F30" s="187"/>
      <c r="G30" s="419"/>
      <c r="H30" s="1670"/>
      <c r="I30" s="1670"/>
      <c r="J30" s="56"/>
    </row>
    <row r="31" spans="1:10" s="2" customFormat="1" ht="27" customHeight="1" x14ac:dyDescent="0.2">
      <c r="A31" s="1670"/>
      <c r="B31" s="1670"/>
      <c r="C31" s="51" t="str">
        <f>F!C9</f>
        <v>B1. Trees and shrubs taller than 1 m comprise more than 25% of the vegetated cover. Surface water is mostly absent or inundates the vegetation only seasonally (e.g., vernal pools or floodplain).</v>
      </c>
      <c r="D31" s="33">
        <f>F!D9</f>
        <v>0</v>
      </c>
      <c r="E31" s="203">
        <v>2</v>
      </c>
      <c r="F31" s="187">
        <f>D31*E31</f>
        <v>0</v>
      </c>
      <c r="G31" s="418"/>
      <c r="H31" s="1670"/>
      <c r="I31" s="1670"/>
      <c r="J31" s="56"/>
    </row>
    <row r="32" spans="1:10" s="2" customFormat="1" ht="42" customHeight="1" thickBot="1" x14ac:dyDescent="0.25">
      <c r="A32" s="1671"/>
      <c r="B32" s="1671"/>
      <c r="C32" s="903" t="str">
        <f>F!C10</f>
        <v>B2. Not B1.  Tree &amp; tall shrubs comprise less than than 25% of the vegetated cover.  Vegetation is mostly herbaceous, e.g., cattail, bulrush, burreed, pond lily, horsetail. Surface water may be extensive and fluctuates seasonally, being either persistent or drying up partly or entirely.</v>
      </c>
      <c r="D32" s="84">
        <f>F!D10</f>
        <v>0</v>
      </c>
      <c r="E32" s="204">
        <v>4</v>
      </c>
      <c r="F32" s="188">
        <f>D32*E32</f>
        <v>0</v>
      </c>
      <c r="G32" s="1071"/>
      <c r="H32" s="1671"/>
      <c r="I32" s="1670"/>
      <c r="J32" s="56"/>
    </row>
    <row r="33" spans="1:10" ht="30" customHeight="1" thickBot="1" x14ac:dyDescent="0.25">
      <c r="A33" s="1703" t="str">
        <f>F!A51</f>
        <v>F9</v>
      </c>
      <c r="B33" s="1670" t="str">
        <f>F!B51</f>
        <v>N Fixers</v>
      </c>
      <c r="C33" s="245" t="str">
        <f>F!C51</f>
        <v>The percentage of the AA's vegetated cover that contains nitrogen-fixing plants (e.g., alder, sweetgale, clover, lupine, alfalfa, other legumes) is:</v>
      </c>
      <c r="D33" s="186"/>
      <c r="E33" s="186"/>
      <c r="F33" s="189"/>
      <c r="G33" s="297">
        <f>MAX(F34:F38)/MAX(E34:E38)</f>
        <v>0</v>
      </c>
      <c r="H33" s="1670" t="s">
        <v>1558</v>
      </c>
      <c r="I33" s="1865" t="s">
        <v>412</v>
      </c>
    </row>
    <row r="34" spans="1:10" ht="15" customHeight="1" x14ac:dyDescent="0.2">
      <c r="A34" s="1703"/>
      <c r="B34" s="1670"/>
      <c r="C34" s="222" t="str">
        <f>F!C52</f>
        <v>&lt;1% or none.</v>
      </c>
      <c r="D34" s="183">
        <f>F!D52</f>
        <v>0</v>
      </c>
      <c r="E34" s="187">
        <v>0</v>
      </c>
      <c r="F34" s="187">
        <f>D34*E34</f>
        <v>0</v>
      </c>
      <c r="G34" s="292"/>
      <c r="H34" s="1670"/>
      <c r="I34" s="1866"/>
    </row>
    <row r="35" spans="1:10" ht="15" customHeight="1" x14ac:dyDescent="0.2">
      <c r="A35" s="1703"/>
      <c r="B35" s="1670"/>
      <c r="C35" s="241" t="str">
        <f>F!C53</f>
        <v>1-25% of the vegetated cover, in the AA or along its water edge (whichever has more).</v>
      </c>
      <c r="D35" s="128">
        <f>F!D53</f>
        <v>0</v>
      </c>
      <c r="E35" s="187">
        <v>1</v>
      </c>
      <c r="F35" s="187">
        <f>D35*E35</f>
        <v>0</v>
      </c>
      <c r="G35" s="293"/>
      <c r="H35" s="1670"/>
      <c r="I35" s="1866"/>
    </row>
    <row r="36" spans="1:10" ht="15" customHeight="1" x14ac:dyDescent="0.2">
      <c r="A36" s="1703"/>
      <c r="B36" s="1670"/>
      <c r="C36" s="241" t="str">
        <f>F!C54</f>
        <v>25-50% of the vegetated cover, in the AA or along its water edge (whichever has more).</v>
      </c>
      <c r="D36" s="128">
        <f>F!D54</f>
        <v>0</v>
      </c>
      <c r="E36" s="187">
        <v>2</v>
      </c>
      <c r="F36" s="187">
        <f>D36*E36</f>
        <v>0</v>
      </c>
      <c r="G36" s="293"/>
      <c r="H36" s="1670"/>
      <c r="I36" s="1866"/>
    </row>
    <row r="37" spans="1:10" ht="15" customHeight="1" x14ac:dyDescent="0.2">
      <c r="A37" s="1703"/>
      <c r="B37" s="1670"/>
      <c r="C37" s="241" t="str">
        <f>F!C55</f>
        <v>50-75% of the vegetated cover, in the AA or along its water edge (whichever has more).</v>
      </c>
      <c r="D37" s="128">
        <f>F!D55</f>
        <v>0</v>
      </c>
      <c r="E37" s="187">
        <v>3</v>
      </c>
      <c r="F37" s="187">
        <f>D37*E37</f>
        <v>0</v>
      </c>
      <c r="G37" s="293"/>
      <c r="H37" s="1670"/>
      <c r="I37" s="1866"/>
    </row>
    <row r="38" spans="1:10" ht="15" customHeight="1" thickBot="1" x14ac:dyDescent="0.25">
      <c r="A38" s="1722"/>
      <c r="B38" s="1671"/>
      <c r="C38" s="85" t="str">
        <f>F!C56</f>
        <v>&gt;75% of the vegetated cover, in the AA or along its water edge (whichever has more).</v>
      </c>
      <c r="D38" s="84">
        <f>F!D56</f>
        <v>0</v>
      </c>
      <c r="E38" s="188">
        <v>4</v>
      </c>
      <c r="F38" s="188">
        <f>D38*E38</f>
        <v>0</v>
      </c>
      <c r="G38" s="294"/>
      <c r="H38" s="1671"/>
      <c r="I38" s="1867"/>
    </row>
    <row r="39" spans="1:10" s="7" customFormat="1" ht="30" customHeight="1" thickBot="1" x14ac:dyDescent="0.25">
      <c r="A39" s="1721" t="str">
        <f>F!A121</f>
        <v>F24</v>
      </c>
      <c r="B39" s="1669" t="str">
        <f>F!B121</f>
        <v>% of AA Without Surface Water</v>
      </c>
      <c r="C39" s="240" t="str">
        <f>F!C121</f>
        <v>The percentage of the AA that never contains surface water during an average year (that is, except perhaps for a few hours after snowmelt or rainstorms), but which is still a wetland, is:</v>
      </c>
      <c r="D39" s="191"/>
      <c r="E39" s="191"/>
      <c r="F39" s="191"/>
      <c r="G39" s="291">
        <f>MAX(F40:F45)/MAX(E40:E45)</f>
        <v>0</v>
      </c>
      <c r="H39" s="1669" t="s">
        <v>654</v>
      </c>
      <c r="I39" s="1669" t="s">
        <v>655</v>
      </c>
      <c r="J39" s="86"/>
    </row>
    <row r="40" spans="1:10" s="7" customFormat="1" ht="15" customHeight="1" x14ac:dyDescent="0.2">
      <c r="A40" s="1703"/>
      <c r="B40" s="1670"/>
      <c r="C40" s="380" t="str">
        <f>F!C122</f>
        <v xml:space="preserve">&lt;1% . In other words, all or nearly all of the AA is covered by water permanently or at least seasonally.  </v>
      </c>
      <c r="D40" s="144">
        <f>F!D122</f>
        <v>0</v>
      </c>
      <c r="E40" s="187">
        <v>5</v>
      </c>
      <c r="F40" s="187">
        <f t="shared" ref="F40:F45" si="1">D40*E40</f>
        <v>0</v>
      </c>
      <c r="G40" s="384"/>
      <c r="H40" s="1670"/>
      <c r="I40" s="1670"/>
      <c r="J40" s="86"/>
    </row>
    <row r="41" spans="1:10" s="7" customFormat="1" ht="15" customHeight="1" x14ac:dyDescent="0.2">
      <c r="A41" s="1703"/>
      <c r="B41" s="1670"/>
      <c r="C41" s="380" t="str">
        <f>F!C123</f>
        <v>1-25% of the AA,  or &lt;1% but &gt;0.01 ha never contains surface water.</v>
      </c>
      <c r="D41" s="144">
        <f>F!D123</f>
        <v>0</v>
      </c>
      <c r="E41" s="187">
        <v>4</v>
      </c>
      <c r="F41" s="187">
        <f t="shared" si="1"/>
        <v>0</v>
      </c>
      <c r="G41" s="384"/>
      <c r="H41" s="1670"/>
      <c r="I41" s="1670"/>
      <c r="J41" s="86"/>
    </row>
    <row r="42" spans="1:10" s="7" customFormat="1" ht="15" customHeight="1" x14ac:dyDescent="0.2">
      <c r="A42" s="1703"/>
      <c r="B42" s="1670"/>
      <c r="C42" s="380" t="str">
        <f>F!C124</f>
        <v>25-50% of the AA never contains surface water.</v>
      </c>
      <c r="D42" s="144">
        <f>F!D124</f>
        <v>0</v>
      </c>
      <c r="E42" s="187">
        <v>3</v>
      </c>
      <c r="F42" s="187">
        <f t="shared" si="1"/>
        <v>0</v>
      </c>
      <c r="G42" s="384"/>
      <c r="H42" s="1670"/>
      <c r="I42" s="1670"/>
      <c r="J42" s="86"/>
    </row>
    <row r="43" spans="1:10" s="7" customFormat="1" ht="15" customHeight="1" x14ac:dyDescent="0.2">
      <c r="A43" s="1703"/>
      <c r="B43" s="1670"/>
      <c r="C43" s="380" t="str">
        <f>F!C125</f>
        <v>50-75% of the AA never contains surface water.</v>
      </c>
      <c r="D43" s="144">
        <f>F!D125</f>
        <v>0</v>
      </c>
      <c r="E43" s="187">
        <v>2</v>
      </c>
      <c r="F43" s="187">
        <f t="shared" si="1"/>
        <v>0</v>
      </c>
      <c r="G43" s="384"/>
      <c r="H43" s="1670"/>
      <c r="I43" s="1670"/>
      <c r="J43" s="86"/>
    </row>
    <row r="44" spans="1:10" s="7" customFormat="1" ht="27" customHeight="1" x14ac:dyDescent="0.2">
      <c r="A44" s="1703"/>
      <c r="B44" s="1670"/>
      <c r="C44" s="380" t="str">
        <f>F!C126</f>
        <v>75-99% of the AA never contains surface water, OR &gt;99% and there is at least one persistently ponded water body larger than 1 ha in the AA.</v>
      </c>
      <c r="D44" s="144">
        <f>F!D126</f>
        <v>0</v>
      </c>
      <c r="E44" s="187">
        <v>1</v>
      </c>
      <c r="F44" s="187">
        <f t="shared" si="1"/>
        <v>0</v>
      </c>
      <c r="G44" s="384"/>
      <c r="H44" s="1670"/>
      <c r="I44" s="1670"/>
      <c r="J44" s="86"/>
    </row>
    <row r="45" spans="1:10" s="7" customFormat="1" ht="27" customHeight="1" thickBot="1" x14ac:dyDescent="0.25">
      <c r="A45" s="1703"/>
      <c r="B45" s="1670"/>
      <c r="C45" s="2" t="str">
        <f>F!C127</f>
        <v>99-100%. AND there is no persistently ponded water body larger than 1 ha within the AA. Enter "1" and SKIP to F42 (Channel Connection).</v>
      </c>
      <c r="D45" s="130">
        <f>F!D127</f>
        <v>0</v>
      </c>
      <c r="E45" s="190">
        <v>0</v>
      </c>
      <c r="F45" s="190">
        <f t="shared" si="1"/>
        <v>0</v>
      </c>
      <c r="G45" s="391"/>
      <c r="H45" s="1670"/>
      <c r="I45" s="1670"/>
      <c r="J45" s="86"/>
    </row>
    <row r="46" spans="1:10" ht="45" customHeight="1" thickBot="1" x14ac:dyDescent="0.25">
      <c r="A46" s="1862" t="str">
        <f>F!A128</f>
        <v>F25</v>
      </c>
      <c r="B46" s="1666" t="str">
        <f>F!B128</f>
        <v>% of AA with Persistent Surface Water</v>
      </c>
      <c r="C46" s="323" t="str">
        <f>F!C128</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46" s="191"/>
      <c r="E46" s="191"/>
      <c r="F46" s="192"/>
      <c r="G46" s="291">
        <f>IF((AllSat1&gt;0),"",MAX(F47:F51)/MAX(E47:E51))</f>
        <v>0</v>
      </c>
      <c r="H46" s="1669" t="s">
        <v>1845</v>
      </c>
      <c r="I46" s="1865" t="s">
        <v>151</v>
      </c>
    </row>
    <row r="47" spans="1:10" ht="27" customHeight="1" x14ac:dyDescent="0.2">
      <c r="A47" s="1723"/>
      <c r="B47" s="1667"/>
      <c r="C47" s="325" t="str">
        <f>F!C129</f>
        <v>None. The AA dries up completely (no water in channels either) or never has surface water during most years.  SKIP to F27.</v>
      </c>
      <c r="D47" s="132">
        <f>F!D129</f>
        <v>0</v>
      </c>
      <c r="E47" s="186">
        <v>0</v>
      </c>
      <c r="F47" s="187">
        <f>D47*E47</f>
        <v>0</v>
      </c>
      <c r="G47" s="293"/>
      <c r="H47" s="1670"/>
      <c r="I47" s="1866"/>
    </row>
    <row r="48" spans="1:10" ht="15" customHeight="1" x14ac:dyDescent="0.2">
      <c r="A48" s="1723"/>
      <c r="B48" s="1667"/>
      <c r="C48" s="325" t="str">
        <f>F!C130</f>
        <v>1-20% of the AA.</v>
      </c>
      <c r="D48" s="132">
        <f>F!D130</f>
        <v>0</v>
      </c>
      <c r="E48" s="187">
        <v>1</v>
      </c>
      <c r="F48" s="187">
        <f>D48*E48</f>
        <v>0</v>
      </c>
      <c r="G48" s="292"/>
      <c r="H48" s="1670"/>
      <c r="I48" s="1866"/>
    </row>
    <row r="49" spans="1:9" ht="15" customHeight="1" x14ac:dyDescent="0.2">
      <c r="A49" s="1723"/>
      <c r="B49" s="1667"/>
      <c r="C49" s="325" t="str">
        <f>F!C131</f>
        <v>20-50% of the AA.</v>
      </c>
      <c r="D49" s="132">
        <f>F!D131</f>
        <v>0</v>
      </c>
      <c r="E49" s="187">
        <v>2</v>
      </c>
      <c r="F49" s="187">
        <f>D49*E49</f>
        <v>0</v>
      </c>
      <c r="G49" s="293"/>
      <c r="H49" s="1670"/>
      <c r="I49" s="1866"/>
    </row>
    <row r="50" spans="1:9" ht="15" customHeight="1" x14ac:dyDescent="0.2">
      <c r="A50" s="1723"/>
      <c r="B50" s="1667"/>
      <c r="C50" s="325" t="str">
        <f>F!C132</f>
        <v>50-95% of the AA.</v>
      </c>
      <c r="D50" s="132">
        <f>F!D132</f>
        <v>0</v>
      </c>
      <c r="E50" s="187">
        <v>3</v>
      </c>
      <c r="F50" s="187">
        <f>D50*E50</f>
        <v>0</v>
      </c>
      <c r="G50" s="293"/>
      <c r="H50" s="1670"/>
      <c r="I50" s="1866"/>
    </row>
    <row r="51" spans="1:9" ht="15" customHeight="1" thickBot="1" x14ac:dyDescent="0.25">
      <c r="A51" s="1863"/>
      <c r="B51" s="1668"/>
      <c r="C51" s="401" t="str">
        <f>F!C133</f>
        <v>&gt;95% of the AA. True for many fringe wetlands.</v>
      </c>
      <c r="D51" s="148">
        <f>F!D133</f>
        <v>0</v>
      </c>
      <c r="E51" s="188">
        <v>4</v>
      </c>
      <c r="F51" s="188">
        <f>D51*E51</f>
        <v>0</v>
      </c>
      <c r="G51" s="294"/>
      <c r="H51" s="1671"/>
      <c r="I51" s="1867"/>
    </row>
    <row r="52" spans="1:9" ht="48" customHeight="1" thickBot="1" x14ac:dyDescent="0.25">
      <c r="A52" s="1721" t="str">
        <f>F!A134</f>
        <v>F26</v>
      </c>
      <c r="B52" s="1693" t="str">
        <f>F!B134</f>
        <v>% of Summertime Water that Is Shaded</v>
      </c>
      <c r="C52" s="240" t="str">
        <f>F!C134</f>
        <v>At mid-day during the warmest time of year, the area of surface water within the AA that is shaded by vegetation and other features that are within the AA at that time is:</v>
      </c>
      <c r="D52" s="191"/>
      <c r="E52" s="191"/>
      <c r="F52" s="209"/>
      <c r="G52" s="291" t="str">
        <f>IF((AllSat1&gt;0),"",IF((NoPersis=1),"",IF((OF!D97&lt;0.01),"", MAX(F53:F57)/MAX(E53:E57))))</f>
        <v/>
      </c>
      <c r="H52" s="1669" t="s">
        <v>1889</v>
      </c>
      <c r="I52" s="1865" t="s">
        <v>124</v>
      </c>
    </row>
    <row r="53" spans="1:9" ht="24" customHeight="1" x14ac:dyDescent="0.2">
      <c r="A53" s="1703"/>
      <c r="B53" s="1696"/>
      <c r="C53" s="14" t="str">
        <f>F!C135</f>
        <v>&lt;5% of the water is shaded, or no surface water is present then.</v>
      </c>
      <c r="D53" s="129">
        <f>F!D135</f>
        <v>0</v>
      </c>
      <c r="E53" s="187">
        <v>1</v>
      </c>
      <c r="F53" s="187">
        <f>D53*E53</f>
        <v>0</v>
      </c>
      <c r="G53" s="292"/>
      <c r="H53" s="1670"/>
      <c r="I53" s="1866"/>
    </row>
    <row r="54" spans="1:9" ht="24" customHeight="1" x14ac:dyDescent="0.2">
      <c r="A54" s="1703"/>
      <c r="B54" s="1696"/>
      <c r="C54" s="4" t="str">
        <f>F!C136</f>
        <v>5-25% of the water is shaded.</v>
      </c>
      <c r="D54" s="33">
        <f>F!D136</f>
        <v>0</v>
      </c>
      <c r="E54" s="187">
        <v>2</v>
      </c>
      <c r="F54" s="187">
        <f>D54*E54</f>
        <v>0</v>
      </c>
      <c r="G54" s="293"/>
      <c r="H54" s="1670"/>
      <c r="I54" s="1866"/>
    </row>
    <row r="55" spans="1:9" ht="24" customHeight="1" x14ac:dyDescent="0.2">
      <c r="A55" s="1703"/>
      <c r="B55" s="1696"/>
      <c r="C55" s="4" t="str">
        <f>F!C137</f>
        <v>25-50% of the water is shaded.</v>
      </c>
      <c r="D55" s="33">
        <f>F!D137</f>
        <v>0</v>
      </c>
      <c r="E55" s="187">
        <v>3</v>
      </c>
      <c r="F55" s="187">
        <f>D55*E55</f>
        <v>0</v>
      </c>
      <c r="G55" s="293"/>
      <c r="H55" s="1670"/>
      <c r="I55" s="1866"/>
    </row>
    <row r="56" spans="1:9" ht="24" customHeight="1" x14ac:dyDescent="0.2">
      <c r="A56" s="1703"/>
      <c r="B56" s="1696"/>
      <c r="C56" s="4" t="str">
        <f>F!C138</f>
        <v>50-75% of the water is shaded.</v>
      </c>
      <c r="D56" s="33">
        <f>F!D138</f>
        <v>0</v>
      </c>
      <c r="E56" s="187">
        <v>5</v>
      </c>
      <c r="F56" s="187">
        <f>D56*E56</f>
        <v>0</v>
      </c>
      <c r="G56" s="293"/>
      <c r="H56" s="1670"/>
      <c r="I56" s="1866"/>
    </row>
    <row r="57" spans="1:9" ht="24" customHeight="1" thickBot="1" x14ac:dyDescent="0.25">
      <c r="A57" s="1722"/>
      <c r="B57" s="1712"/>
      <c r="C57" s="85" t="str">
        <f>F!C139</f>
        <v>&gt;75% of the water is shaded.</v>
      </c>
      <c r="D57" s="84">
        <f>F!D139</f>
        <v>0</v>
      </c>
      <c r="E57" s="188">
        <v>4</v>
      </c>
      <c r="F57" s="188">
        <f>D57*E57</f>
        <v>0</v>
      </c>
      <c r="G57" s="294"/>
      <c r="H57" s="1671"/>
      <c r="I57" s="1867"/>
    </row>
    <row r="58" spans="1:9" ht="30" customHeight="1" thickBot="1" x14ac:dyDescent="0.25">
      <c r="A58" s="1721" t="str">
        <f>F!A140</f>
        <v>F27</v>
      </c>
      <c r="B58" s="1693" t="str">
        <f>F!B140</f>
        <v>% of AA that is Flooded Only Seasonally</v>
      </c>
      <c r="C58" s="240" t="str">
        <f>F!C140</f>
        <v>The percentage of the AA's area that is between the annual high water and the annual low water (surface water) is:</v>
      </c>
      <c r="D58" s="191"/>
      <c r="E58" s="191"/>
      <c r="F58" s="209"/>
      <c r="G58" s="291">
        <f>IF((AllSat1&gt;0),"",MAX(F59:F63)/MAX(E59:E63))</f>
        <v>0</v>
      </c>
      <c r="H58" s="1669" t="s">
        <v>1559</v>
      </c>
      <c r="I58" s="1865" t="s">
        <v>123</v>
      </c>
    </row>
    <row r="59" spans="1:9" ht="17.100000000000001" customHeight="1" x14ac:dyDescent="0.2">
      <c r="A59" s="1703"/>
      <c r="B59" s="1696"/>
      <c r="C59" s="14" t="str">
        <f>F!C141</f>
        <v>None, or &lt;0.01 hectare and &lt;1% of the AA.  SKIP to F29.</v>
      </c>
      <c r="D59" s="129">
        <f>F!D141</f>
        <v>0</v>
      </c>
      <c r="E59" s="187">
        <v>3</v>
      </c>
      <c r="F59" s="187">
        <f>D59*E59</f>
        <v>0</v>
      </c>
      <c r="G59" s="292"/>
      <c r="H59" s="1670"/>
      <c r="I59" s="1866"/>
    </row>
    <row r="60" spans="1:9" ht="15" customHeight="1" x14ac:dyDescent="0.2">
      <c r="A60" s="1703"/>
      <c r="B60" s="1696"/>
      <c r="C60" s="4" t="str">
        <f>F!C142</f>
        <v>1-20% of the AA, or &lt;1% but &gt;0.01 ha.</v>
      </c>
      <c r="D60" s="33">
        <f>F!D142</f>
        <v>0</v>
      </c>
      <c r="E60" s="187">
        <v>4</v>
      </c>
      <c r="F60" s="187">
        <f>D60*E60</f>
        <v>0</v>
      </c>
      <c r="G60" s="293"/>
      <c r="H60" s="1670"/>
      <c r="I60" s="1866"/>
    </row>
    <row r="61" spans="1:9" ht="15" customHeight="1" x14ac:dyDescent="0.2">
      <c r="A61" s="1703"/>
      <c r="B61" s="1696"/>
      <c r="C61" s="4" t="str">
        <f>F!C143</f>
        <v>20-50% of the AA.</v>
      </c>
      <c r="D61" s="33">
        <f>F!D143</f>
        <v>0</v>
      </c>
      <c r="E61" s="187">
        <v>3</v>
      </c>
      <c r="F61" s="187">
        <f>D61*E61</f>
        <v>0</v>
      </c>
      <c r="G61" s="293"/>
      <c r="H61" s="1670"/>
      <c r="I61" s="1866"/>
    </row>
    <row r="62" spans="1:9" ht="15" customHeight="1" x14ac:dyDescent="0.2">
      <c r="A62" s="1703"/>
      <c r="B62" s="1696"/>
      <c r="C62" s="4" t="str">
        <f>F!C144</f>
        <v>50-95% of the AA.</v>
      </c>
      <c r="D62" s="33">
        <f>F!D144</f>
        <v>0</v>
      </c>
      <c r="E62" s="187">
        <v>2</v>
      </c>
      <c r="F62" s="187">
        <f>D62*E62</f>
        <v>0</v>
      </c>
      <c r="G62" s="293"/>
      <c r="H62" s="1670"/>
      <c r="I62" s="1866"/>
    </row>
    <row r="63" spans="1:9" ht="15" customHeight="1" thickBot="1" x14ac:dyDescent="0.25">
      <c r="A63" s="1722"/>
      <c r="B63" s="1712"/>
      <c r="C63" s="85" t="str">
        <f>F!C145</f>
        <v xml:space="preserve">&gt;95% of the AA. </v>
      </c>
      <c r="D63" s="84">
        <f>F!D145</f>
        <v>0</v>
      </c>
      <c r="E63" s="188">
        <v>1</v>
      </c>
      <c r="F63" s="188">
        <f>D63*E63</f>
        <v>0</v>
      </c>
      <c r="G63" s="294"/>
      <c r="H63" s="1671"/>
      <c r="I63" s="1867"/>
    </row>
    <row r="64" spans="1:9" ht="30" customHeight="1" thickBot="1" x14ac:dyDescent="0.25">
      <c r="A64" s="1853" t="str">
        <f>F!A153</f>
        <v>F29</v>
      </c>
      <c r="B64" s="1696" t="str">
        <f>F!B153</f>
        <v>Predominant Depth Class</v>
      </c>
      <c r="C64" s="245" t="str">
        <f>F!C153</f>
        <v>During most of the time when surface water is present during the growing season, its depth, averaged over the entire inundated part of the AA, is:</v>
      </c>
      <c r="D64" s="191"/>
      <c r="E64" s="186"/>
      <c r="F64" s="189"/>
      <c r="G64" s="297">
        <f>IF((AllSat1&gt;0),"",MAX(F65:F69)/MAX(E65:E69))</f>
        <v>0</v>
      </c>
      <c r="H64" s="1670" t="s">
        <v>1358</v>
      </c>
      <c r="I64" s="1865" t="s">
        <v>127</v>
      </c>
    </row>
    <row r="65" spans="1:9" ht="15" customHeight="1" x14ac:dyDescent="0.2">
      <c r="A65" s="1853"/>
      <c r="B65" s="1696"/>
      <c r="C65" s="14" t="str">
        <f>F!C154</f>
        <v>&lt;10 cm deep (but &gt;0).</v>
      </c>
      <c r="D65" s="129">
        <f>F!D154</f>
        <v>0</v>
      </c>
      <c r="E65" s="187">
        <v>2</v>
      </c>
      <c r="F65" s="187">
        <f>D65*E65</f>
        <v>0</v>
      </c>
      <c r="G65" s="292"/>
      <c r="H65" s="1670"/>
      <c r="I65" s="1866"/>
    </row>
    <row r="66" spans="1:9" ht="15" customHeight="1" x14ac:dyDescent="0.2">
      <c r="A66" s="1853"/>
      <c r="B66" s="1696"/>
      <c r="C66" s="4" t="str">
        <f>F!C155</f>
        <v>10 - 50 cm deep.</v>
      </c>
      <c r="D66" s="33">
        <f>F!D155</f>
        <v>0</v>
      </c>
      <c r="E66" s="187">
        <v>3</v>
      </c>
      <c r="F66" s="187">
        <f>D66*E66</f>
        <v>0</v>
      </c>
      <c r="G66" s="293"/>
      <c r="H66" s="1670"/>
      <c r="I66" s="1866"/>
    </row>
    <row r="67" spans="1:9" ht="15" customHeight="1" x14ac:dyDescent="0.2">
      <c r="A67" s="1853"/>
      <c r="B67" s="1696"/>
      <c r="C67" s="4" t="str">
        <f>F!C156</f>
        <v>0.5 - 1 m deep.</v>
      </c>
      <c r="D67" s="33">
        <f>F!D156</f>
        <v>0</v>
      </c>
      <c r="E67" s="187">
        <v>4</v>
      </c>
      <c r="F67" s="187">
        <f>D67*E67</f>
        <v>0</v>
      </c>
      <c r="G67" s="293"/>
      <c r="H67" s="1670"/>
      <c r="I67" s="1866"/>
    </row>
    <row r="68" spans="1:9" ht="15" customHeight="1" x14ac:dyDescent="0.2">
      <c r="A68" s="1853"/>
      <c r="B68" s="1696"/>
      <c r="C68" s="4" t="str">
        <f>F!C157</f>
        <v>1 - 2 m deep.</v>
      </c>
      <c r="D68" s="33">
        <f>F!D157</f>
        <v>0</v>
      </c>
      <c r="E68" s="187">
        <v>2</v>
      </c>
      <c r="F68" s="187">
        <f>D68*E68</f>
        <v>0</v>
      </c>
      <c r="G68" s="293"/>
      <c r="H68" s="1670"/>
      <c r="I68" s="1866"/>
    </row>
    <row r="69" spans="1:9" ht="15" customHeight="1" thickBot="1" x14ac:dyDescent="0.25">
      <c r="A69" s="1853"/>
      <c r="B69" s="1696"/>
      <c r="C69" s="241" t="str">
        <f>F!C158</f>
        <v>&gt;2 m deep. True for many fringe wetlands.</v>
      </c>
      <c r="D69" s="128">
        <f>F!D158</f>
        <v>0</v>
      </c>
      <c r="E69" s="190">
        <v>1</v>
      </c>
      <c r="F69" s="190">
        <f>D69*E69</f>
        <v>0</v>
      </c>
      <c r="G69" s="302"/>
      <c r="H69" s="1670"/>
      <c r="I69" s="1867"/>
    </row>
    <row r="70" spans="1:9" ht="30" customHeight="1" thickBot="1" x14ac:dyDescent="0.25">
      <c r="A70" s="1669" t="str">
        <f>F!A170</f>
        <v>F33</v>
      </c>
      <c r="B70" s="1669" t="str">
        <f>F!B170</f>
        <v xml:space="preserve">% of Ponded Water that is Open </v>
      </c>
      <c r="C70" s="3" t="str">
        <f>F!C170</f>
        <v>In ducks-eye aerial view, the percentage of the ponded water that is open (lacking emergent vegetation during most of the growing season, and unhidden by a forest or shrub canopy) is:</v>
      </c>
      <c r="D70" s="202"/>
      <c r="E70" s="191"/>
      <c r="F70" s="209"/>
      <c r="G70" s="291">
        <f>IF((AllSat1&gt;0),"",IF((NoPonded=1),"",MAX(F71:F76)/MAX(E71:E76)))</f>
        <v>0</v>
      </c>
      <c r="H70" s="1669" t="s">
        <v>1846</v>
      </c>
      <c r="I70" s="1865" t="s">
        <v>126</v>
      </c>
    </row>
    <row r="71" spans="1:9" ht="27" customHeight="1" x14ac:dyDescent="0.2">
      <c r="A71" s="1670"/>
      <c r="B71" s="1670"/>
      <c r="C71" s="222" t="str">
        <f>F!C171</f>
        <v>None, or &lt;1% of the AA and largest pool occupies &lt;0.01 hectares. Enter "1" and SKIP to F41 (Floating Algae &amp; Duckweed).</v>
      </c>
      <c r="D71" s="128">
        <f>F!D171</f>
        <v>0</v>
      </c>
      <c r="E71" s="187">
        <v>0</v>
      </c>
      <c r="F71" s="187">
        <f t="shared" ref="F71:F76" si="2">D71*E71</f>
        <v>0</v>
      </c>
      <c r="G71" s="292"/>
      <c r="H71" s="1670"/>
      <c r="I71" s="1866"/>
    </row>
    <row r="72" spans="1:9" ht="15" customHeight="1" x14ac:dyDescent="0.2">
      <c r="A72" s="1670"/>
      <c r="B72" s="1670"/>
      <c r="C72" s="241" t="str">
        <f>F!C172</f>
        <v>1-4% of the ponded water. Enter "1" and SKIP to F41 (Floating Algae &amp; Duckweed).</v>
      </c>
      <c r="D72" s="128">
        <f>F!D172</f>
        <v>0</v>
      </c>
      <c r="E72" s="187">
        <v>3</v>
      </c>
      <c r="F72" s="187">
        <f t="shared" si="2"/>
        <v>0</v>
      </c>
      <c r="G72" s="293"/>
      <c r="H72" s="1670"/>
      <c r="I72" s="1866"/>
    </row>
    <row r="73" spans="1:9" ht="15" customHeight="1" x14ac:dyDescent="0.2">
      <c r="A73" s="1670"/>
      <c r="B73" s="1670"/>
      <c r="C73" s="241" t="str">
        <f>F!C173</f>
        <v>5-30% of the ponded water.</v>
      </c>
      <c r="D73" s="128">
        <f>F!D173</f>
        <v>0</v>
      </c>
      <c r="E73" s="187">
        <v>4</v>
      </c>
      <c r="F73" s="187">
        <f t="shared" si="2"/>
        <v>0</v>
      </c>
      <c r="G73" s="293"/>
      <c r="H73" s="1670"/>
      <c r="I73" s="1866"/>
    </row>
    <row r="74" spans="1:9" ht="15" customHeight="1" x14ac:dyDescent="0.2">
      <c r="A74" s="1670"/>
      <c r="B74" s="1670"/>
      <c r="C74" s="241" t="str">
        <f>F!C174</f>
        <v>30-70% of the ponded water.</v>
      </c>
      <c r="D74" s="128">
        <f>F!D174</f>
        <v>0</v>
      </c>
      <c r="E74" s="187">
        <v>3</v>
      </c>
      <c r="F74" s="187">
        <f t="shared" si="2"/>
        <v>0</v>
      </c>
      <c r="G74" s="293"/>
      <c r="H74" s="1670"/>
      <c r="I74" s="1866"/>
    </row>
    <row r="75" spans="1:9" ht="15" customHeight="1" x14ac:dyDescent="0.2">
      <c r="A75" s="1670"/>
      <c r="B75" s="1670"/>
      <c r="C75" s="241" t="str">
        <f>F!C175</f>
        <v>70-99% of the ponded water.</v>
      </c>
      <c r="D75" s="128">
        <f>F!D175</f>
        <v>0</v>
      </c>
      <c r="E75" s="187">
        <v>2</v>
      </c>
      <c r="F75" s="187">
        <f t="shared" si="2"/>
        <v>0</v>
      </c>
      <c r="G75" s="302"/>
      <c r="H75" s="1670"/>
      <c r="I75" s="1866"/>
    </row>
    <row r="76" spans="1:9" ht="15" customHeight="1" thickBot="1" x14ac:dyDescent="0.25">
      <c r="A76" s="1671"/>
      <c r="B76" s="1671"/>
      <c r="C76" s="85" t="str">
        <f>F!C176</f>
        <v xml:space="preserve">100% of the ponded water. </v>
      </c>
      <c r="D76" s="84">
        <f>F!D176</f>
        <v>0</v>
      </c>
      <c r="E76" s="188">
        <v>1</v>
      </c>
      <c r="F76" s="188">
        <f t="shared" si="2"/>
        <v>0</v>
      </c>
      <c r="G76" s="294"/>
      <c r="H76" s="1671"/>
      <c r="I76" s="1867"/>
    </row>
    <row r="77" spans="1:9" ht="30" customHeight="1" thickBot="1" x14ac:dyDescent="0.25">
      <c r="A77" s="1864" t="str">
        <f>F!A195</f>
        <v>F37</v>
      </c>
      <c r="B77" s="1670" t="str">
        <f>F!B195</f>
        <v>Interspersion of Emergents &amp; Open Water</v>
      </c>
      <c r="C77" s="184" t="str">
        <f>F!C195</f>
        <v>During most of the part of the growing season when water is present, the spatial pattern of emergent vegetation within the water is mostly:</v>
      </c>
      <c r="D77" s="186"/>
      <c r="E77" s="186"/>
      <c r="F77" s="189"/>
      <c r="G77" s="297">
        <f>IF((AllSat1&gt;0),"",IF((AllOpenPond=1),"",IF((NoOpenPonded+NoOpenPonded1&gt;0),"",IF((NoRobustEm=1),"",MAX(F78:F80)/MAX(E78:E80)))))</f>
        <v>0</v>
      </c>
      <c r="H77" s="1670" t="s">
        <v>1560</v>
      </c>
      <c r="I77" s="1865" t="s">
        <v>128</v>
      </c>
    </row>
    <row r="78" spans="1:9" ht="15" customHeight="1" x14ac:dyDescent="0.2">
      <c r="A78" s="1950"/>
      <c r="B78" s="1670"/>
      <c r="C78" s="243" t="str">
        <f>F!C196</f>
        <v>Scattered. More than 30% of such vegetation forms small islands or corridors surrounded by water.</v>
      </c>
      <c r="D78" s="129">
        <f>F!D196</f>
        <v>0</v>
      </c>
      <c r="E78" s="187">
        <v>3</v>
      </c>
      <c r="F78" s="187">
        <f>D78*E78</f>
        <v>0</v>
      </c>
      <c r="G78" s="212"/>
      <c r="H78" s="1670"/>
      <c r="I78" s="1866"/>
    </row>
    <row r="79" spans="1:9" ht="15" customHeight="1" x14ac:dyDescent="0.2">
      <c r="A79" s="1950"/>
      <c r="B79" s="1670"/>
      <c r="C79" s="244" t="str">
        <f>F!C197</f>
        <v>Intermediate.</v>
      </c>
      <c r="D79" s="33">
        <f>F!D197</f>
        <v>0</v>
      </c>
      <c r="E79" s="187">
        <v>2</v>
      </c>
      <c r="F79" s="187">
        <f>D79*E79</f>
        <v>0</v>
      </c>
      <c r="G79" s="212"/>
      <c r="H79" s="1670"/>
      <c r="I79" s="1866"/>
    </row>
    <row r="80" spans="1:9" ht="27" customHeight="1" thickBot="1" x14ac:dyDescent="0.25">
      <c r="A80" s="1951"/>
      <c r="B80" s="1670"/>
      <c r="C80" s="182" t="str">
        <f>F!C198</f>
        <v>Clumped. More than 70% of such vegetation is in bands along the wetland perimeter or is clumped at one or a few sides of the surface water area.</v>
      </c>
      <c r="D80" s="128">
        <f>F!D198</f>
        <v>0</v>
      </c>
      <c r="E80" s="190">
        <v>1</v>
      </c>
      <c r="F80" s="190">
        <f>D80*E80</f>
        <v>0</v>
      </c>
      <c r="G80" s="214"/>
      <c r="H80" s="1670"/>
      <c r="I80" s="1867"/>
    </row>
    <row r="81" spans="1:9" ht="45" customHeight="1" thickBot="1" x14ac:dyDescent="0.25">
      <c r="A81" s="1721" t="str">
        <f>F!A200</f>
        <v>F39</v>
      </c>
      <c r="B81" s="1693" t="str">
        <f>F!B200</f>
        <v>Non-vegetated Aquatic Cover</v>
      </c>
      <c r="C81" s="240" t="str">
        <f>F!C200</f>
        <v>During most of the growing season and in waters deeper than 0.5 m, the cover for fish, aquatic invertebrates, and/or amphibians that is provided NOT by living vegetation, but by accumulations of dead wood and undercut banks is:</v>
      </c>
      <c r="D81" s="191"/>
      <c r="E81" s="191"/>
      <c r="F81" s="192"/>
      <c r="G81" s="327" t="str">
        <f>IF((AllSat1&gt;0),"",IF((OpenW=0),"",IF((DeepPersis=0),"",MAX(F82:F84)/MAX(E82:E84))))</f>
        <v/>
      </c>
      <c r="H81" s="1669" t="s">
        <v>1847</v>
      </c>
      <c r="I81" s="1865" t="s">
        <v>125</v>
      </c>
    </row>
    <row r="82" spans="1:9" ht="15" customHeight="1" x14ac:dyDescent="0.2">
      <c r="A82" s="1703"/>
      <c r="B82" s="1696"/>
      <c r="C82" s="14" t="str">
        <f>F!C201</f>
        <v>Little or none.</v>
      </c>
      <c r="D82" s="129">
        <f>F!D201</f>
        <v>0</v>
      </c>
      <c r="E82" s="187">
        <v>0</v>
      </c>
      <c r="F82" s="187">
        <f>D82*E82</f>
        <v>0</v>
      </c>
      <c r="G82" s="292"/>
      <c r="H82" s="1670"/>
      <c r="I82" s="1866"/>
    </row>
    <row r="83" spans="1:9" ht="15" customHeight="1" x14ac:dyDescent="0.2">
      <c r="A83" s="1703"/>
      <c r="B83" s="1696"/>
      <c r="C83" s="4" t="str">
        <f>F!C202</f>
        <v>Intermediate.</v>
      </c>
      <c r="D83" s="33">
        <f>F!D202</f>
        <v>0</v>
      </c>
      <c r="E83" s="187">
        <v>1</v>
      </c>
      <c r="F83" s="187">
        <f>D83*E83</f>
        <v>0</v>
      </c>
      <c r="G83" s="420"/>
      <c r="H83" s="1670"/>
      <c r="I83" s="1866"/>
    </row>
    <row r="84" spans="1:9" ht="15" customHeight="1" thickBot="1" x14ac:dyDescent="0.25">
      <c r="A84" s="1722"/>
      <c r="B84" s="1712"/>
      <c r="C84" s="85" t="str">
        <f>F!C203</f>
        <v>Extensive.</v>
      </c>
      <c r="D84" s="84">
        <f>F!D203</f>
        <v>0</v>
      </c>
      <c r="E84" s="188">
        <v>2</v>
      </c>
      <c r="F84" s="188">
        <f>D84*E84</f>
        <v>0</v>
      </c>
      <c r="G84" s="294"/>
      <c r="H84" s="1671"/>
      <c r="I84" s="1867"/>
    </row>
    <row r="85" spans="1:9" ht="65.25" customHeight="1" thickBot="1" x14ac:dyDescent="0.25">
      <c r="A85" s="1669" t="str">
        <f>F!A206</f>
        <v>F42</v>
      </c>
      <c r="B85" s="1696" t="str">
        <f>F!B206</f>
        <v>Channel Connection &amp; Outflow Duration</v>
      </c>
      <c r="C85" s="245" t="str">
        <f>F!C206</f>
        <v>The most persistent surface water connection (outlet channel or pipe, ditch, or overbank water exchange) between the AA and a downslope stream network is: [Note: If the AA represents only part of a wetland, answer this according to whichever is the least permanent surface connection: the one between the AA and the rest of the wetland, or the surface connection between the wetland and the downslope stream network.]</v>
      </c>
      <c r="D85" s="191"/>
      <c r="E85" s="186"/>
      <c r="F85" s="208"/>
      <c r="G85" s="297">
        <f>MAX(F86:F90)/MAX(E86:E90)</f>
        <v>0</v>
      </c>
      <c r="H85" s="1670" t="s">
        <v>1848</v>
      </c>
      <c r="I85" s="1865" t="s">
        <v>130</v>
      </c>
    </row>
    <row r="86" spans="1:9" ht="15" customHeight="1" x14ac:dyDescent="0.2">
      <c r="A86" s="1670"/>
      <c r="B86" s="1696"/>
      <c r="C86" s="14" t="str">
        <f>F!C207</f>
        <v>Persistent (surface water flows out for &gt;9 months/year).</v>
      </c>
      <c r="D86" s="129">
        <f>F!D207</f>
        <v>0</v>
      </c>
      <c r="E86" s="187">
        <v>3</v>
      </c>
      <c r="F86" s="187">
        <f>D86*E86</f>
        <v>0</v>
      </c>
      <c r="G86" s="292"/>
      <c r="H86" s="1670"/>
      <c r="I86" s="1866"/>
    </row>
    <row r="87" spans="1:9" ht="15" customHeight="1" x14ac:dyDescent="0.2">
      <c r="A87" s="1670"/>
      <c r="B87" s="1696"/>
      <c r="C87" s="4" t="str">
        <f>F!C208</f>
        <v>Seasonal (surface water flows out for 14 days to 9 months/year, not necessarily consecutive).</v>
      </c>
      <c r="D87" s="33">
        <f>F!D208</f>
        <v>0</v>
      </c>
      <c r="E87" s="187">
        <v>2</v>
      </c>
      <c r="F87" s="187">
        <f>D87*E87</f>
        <v>0</v>
      </c>
      <c r="G87" s="293"/>
      <c r="H87" s="1670"/>
      <c r="I87" s="1866"/>
    </row>
    <row r="88" spans="1:9" ht="15" customHeight="1" x14ac:dyDescent="0.2">
      <c r="A88" s="1670"/>
      <c r="B88" s="1696"/>
      <c r="C88" s="4" t="str">
        <f>F!C209</f>
        <v>Temporary (surface water flows out for &lt;14 days, not necessarily consecutive).</v>
      </c>
      <c r="D88" s="33">
        <f>F!D209</f>
        <v>0</v>
      </c>
      <c r="E88" s="187">
        <v>1</v>
      </c>
      <c r="F88" s="187">
        <f>D88*E88</f>
        <v>0</v>
      </c>
      <c r="G88" s="293"/>
      <c r="H88" s="1670"/>
      <c r="I88" s="1866"/>
    </row>
    <row r="89" spans="1:9" ht="27" customHeight="1" x14ac:dyDescent="0.2">
      <c r="A89" s="1670"/>
      <c r="B89" s="1696"/>
      <c r="C89" s="4" t="str">
        <f>F!C210</f>
        <v>None -- but maps show a stream network downslope from the AA and within a distance that is less than the AA's length. SKIP to F47 (pH Measurement).</v>
      </c>
      <c r="D89" s="33">
        <f>F!D210</f>
        <v>0</v>
      </c>
      <c r="E89" s="203">
        <v>0</v>
      </c>
      <c r="F89" s="187">
        <f>D89*E89</f>
        <v>0</v>
      </c>
      <c r="G89" s="302"/>
      <c r="H89" s="1670"/>
      <c r="I89" s="1866"/>
    </row>
    <row r="90" spans="1:9" ht="27" customHeight="1" thickBot="1" x14ac:dyDescent="0.25">
      <c r="A90" s="1671"/>
      <c r="B90" s="1696"/>
      <c r="C90" s="241" t="str">
        <f>F!C211</f>
        <v>No surface water flows out of the wetland except possibly during extreme events (&lt;once per 10 years). Or, water flows only into a wetland, ditch, or lake that lacks an outlet. SKIP to F47 (pH Measurement).</v>
      </c>
      <c r="D90" s="128">
        <f>F!D211</f>
        <v>0</v>
      </c>
      <c r="E90" s="321">
        <v>0</v>
      </c>
      <c r="F90" s="190">
        <f>D90*E90</f>
        <v>0</v>
      </c>
      <c r="G90" s="302"/>
      <c r="H90" s="1670"/>
      <c r="I90" s="1867"/>
    </row>
    <row r="91" spans="1:9" ht="30" customHeight="1" thickBot="1" x14ac:dyDescent="0.25">
      <c r="A91" s="1721" t="str">
        <f>F!A218</f>
        <v>F46</v>
      </c>
      <c r="B91" s="1693" t="str">
        <f>F!B218</f>
        <v>Throughflow Resistance</v>
      </c>
      <c r="C91" s="240" t="str">
        <f>F!C218</f>
        <v>During its travel through the AA at the time of peak annual flow, water arriving in channels: [select only the ONE encountered by most of the incoming water].</v>
      </c>
      <c r="D91" s="191"/>
      <c r="E91" s="191"/>
      <c r="F91" s="209"/>
      <c r="G91" s="327">
        <f>IF(AND(Inflows=0,OutNone=1,OutNone1=1),"",MAX(F92:F96)/MAX(E92:E96))</f>
        <v>0</v>
      </c>
      <c r="H91" s="1669" t="s">
        <v>1201</v>
      </c>
      <c r="I91" s="1865" t="s">
        <v>131</v>
      </c>
    </row>
    <row r="92" spans="1:9" ht="42" customHeight="1" x14ac:dyDescent="0.2">
      <c r="A92" s="1703"/>
      <c r="B92" s="1696"/>
      <c r="C92" s="14" t="str">
        <f>F!C219</f>
        <v>Does not bump into many plant stems as it travels through the AA. Nearly all the water continues to travel in unvegetated (often incised) channels that have minimal contact with wetland vegetation, or through a zone of open water such as an instream pond or lake.</v>
      </c>
      <c r="D92" s="129">
        <f>F!D219</f>
        <v>0</v>
      </c>
      <c r="E92" s="187">
        <v>0</v>
      </c>
      <c r="F92" s="187">
        <f>D92*E92</f>
        <v>0</v>
      </c>
      <c r="G92" s="383"/>
      <c r="H92" s="1670"/>
      <c r="I92" s="1866"/>
    </row>
    <row r="93" spans="1:9" ht="15" customHeight="1" x14ac:dyDescent="0.2">
      <c r="A93" s="1703"/>
      <c r="B93" s="1696"/>
      <c r="C93" s="4" t="str">
        <f>F!C220</f>
        <v>Bumps into herbaceous vegetation but mostly remains in fairly straight channels.</v>
      </c>
      <c r="D93" s="33">
        <f>F!D220</f>
        <v>0</v>
      </c>
      <c r="E93" s="187">
        <v>1</v>
      </c>
      <c r="F93" s="187">
        <f>D93*E93</f>
        <v>0</v>
      </c>
      <c r="G93" s="293"/>
      <c r="H93" s="1670"/>
      <c r="I93" s="1866"/>
    </row>
    <row r="94" spans="1:9" ht="27" customHeight="1" x14ac:dyDescent="0.2">
      <c r="A94" s="1703"/>
      <c r="B94" s="1696"/>
      <c r="C94" s="4" t="str">
        <f>F!C221</f>
        <v>Bumps into herbaceous vegetation and mostly spreads throughout, or is in widely meandering, multi-branched, or braided channels.</v>
      </c>
      <c r="D94" s="33">
        <f>F!D221</f>
        <v>0</v>
      </c>
      <c r="E94" s="187">
        <v>3</v>
      </c>
      <c r="F94" s="187">
        <f>D94*E94</f>
        <v>0</v>
      </c>
      <c r="G94" s="293"/>
      <c r="H94" s="1670"/>
      <c r="I94" s="1866"/>
    </row>
    <row r="95" spans="1:9" ht="15" customHeight="1" x14ac:dyDescent="0.2">
      <c r="A95" s="1703"/>
      <c r="B95" s="1696"/>
      <c r="C95" s="4" t="str">
        <f>F!C222</f>
        <v>Bumps into tree trunks and/or shrub stems but mostly remains in fairly straight channels.</v>
      </c>
      <c r="D95" s="33">
        <f>F!D222</f>
        <v>0</v>
      </c>
      <c r="E95" s="187">
        <v>2</v>
      </c>
      <c r="F95" s="187">
        <f>D95*E95</f>
        <v>0</v>
      </c>
      <c r="G95" s="293"/>
      <c r="H95" s="1670"/>
      <c r="I95" s="1866"/>
    </row>
    <row r="96" spans="1:9" ht="27" customHeight="1" thickBot="1" x14ac:dyDescent="0.25">
      <c r="A96" s="1703"/>
      <c r="B96" s="1696"/>
      <c r="C96" s="241" t="str">
        <f>F!C223</f>
        <v>Bumps into tree trunks and/or shrub stems and follows a fairly indirect path from entrance to exit (meandering, multi-branched, or braided).</v>
      </c>
      <c r="D96" s="128">
        <f>F!D223</f>
        <v>0</v>
      </c>
      <c r="E96" s="190">
        <v>3</v>
      </c>
      <c r="F96" s="190">
        <f>D96*E96</f>
        <v>0</v>
      </c>
      <c r="G96" s="302"/>
      <c r="H96" s="1670"/>
      <c r="I96" s="1866"/>
    </row>
    <row r="97" spans="1:9" ht="21" customHeight="1" thickBot="1" x14ac:dyDescent="0.25">
      <c r="A97" s="1669" t="str">
        <f>F!A224</f>
        <v>F47</v>
      </c>
      <c r="B97" s="1669" t="str">
        <f>F!B224</f>
        <v>pH Measurement</v>
      </c>
      <c r="C97" s="3" t="str">
        <f>F!C224</f>
        <v>The pH in most of the AA's surface water:</v>
      </c>
      <c r="D97" s="752"/>
      <c r="E97" s="191"/>
      <c r="F97" s="192"/>
      <c r="G97" s="761">
        <f xml:space="preserve"> IF((D100=1),"",IF((D99=1),0, IF((AND(D98&gt;5,D98&lt;9)),1,0)))</f>
        <v>0</v>
      </c>
      <c r="H97" s="1856" t="s">
        <v>2589</v>
      </c>
      <c r="I97" s="1865" t="s">
        <v>1567</v>
      </c>
    </row>
    <row r="98" spans="1:9" ht="15" customHeight="1" thickBot="1" x14ac:dyDescent="0.25">
      <c r="A98" s="1670"/>
      <c r="B98" s="1670"/>
      <c r="C98" s="380" t="str">
        <f>F!C225</f>
        <v>Was measured, and is:  [enter the reading in the column to the right.]</v>
      </c>
      <c r="D98" s="1421" t="str">
        <f>IF((F!D225=""),"",F!D225)</f>
        <v/>
      </c>
      <c r="E98" s="203"/>
      <c r="F98" s="187"/>
      <c r="G98" s="423"/>
      <c r="H98" s="1893"/>
      <c r="I98" s="1866"/>
    </row>
    <row r="99" spans="1:9" ht="27" customHeight="1" x14ac:dyDescent="0.2">
      <c r="A99" s="1670"/>
      <c r="B99" s="1670"/>
      <c r="C99" s="1151" t="str">
        <f>F!C226</f>
        <v xml:space="preserve">Was not measured but surface water is present and is darkly tea-coloured.  Or if no surface water, then mosses and plants that indicate peatland (e.g., Labrador tea) are prevalent. Enter "1". </v>
      </c>
      <c r="D99" s="1349">
        <f>F!D226</f>
        <v>0</v>
      </c>
      <c r="E99" s="187"/>
      <c r="F99" s="187"/>
      <c r="G99" s="680" t="s">
        <v>912</v>
      </c>
      <c r="H99" s="1893"/>
      <c r="I99" s="1866"/>
    </row>
    <row r="100" spans="1:9" ht="15" customHeight="1" thickBot="1" x14ac:dyDescent="0.25">
      <c r="A100" s="1671"/>
      <c r="B100" s="1671"/>
      <c r="C100" s="381" t="str">
        <f>F!C227</f>
        <v>Neither of above. Enter "1".</v>
      </c>
      <c r="D100" s="841">
        <f>F!D227</f>
        <v>0</v>
      </c>
      <c r="E100" s="188"/>
      <c r="F100" s="188"/>
      <c r="G100" s="698"/>
      <c r="H100" s="1894"/>
      <c r="I100" s="1867"/>
    </row>
    <row r="101" spans="1:9" ht="21" customHeight="1" thickBot="1" x14ac:dyDescent="0.25">
      <c r="A101" s="1723" t="str">
        <f>F!A233</f>
        <v>F49</v>
      </c>
      <c r="B101" s="1667" t="str">
        <f>F!B233</f>
        <v>Beaver Probability</v>
      </c>
      <c r="C101" s="411" t="str">
        <f>F!C233</f>
        <v>Use of the AA by beaver during the past 5 years is (select most applicable ONE):</v>
      </c>
      <c r="D101" s="186"/>
      <c r="E101" s="186"/>
      <c r="F101" s="189"/>
      <c r="G101" s="297">
        <f>IF((AllSat1&gt;0),"",MAX(F102:F104)/MAX(E102:E104))</f>
        <v>0</v>
      </c>
      <c r="H101" s="1670" t="s">
        <v>1568</v>
      </c>
      <c r="I101" s="1866" t="s">
        <v>1025</v>
      </c>
    </row>
    <row r="102" spans="1:9" ht="27" customHeight="1" x14ac:dyDescent="0.2">
      <c r="A102" s="1723"/>
      <c r="B102" s="1667"/>
      <c r="C102" s="324" t="str">
        <f>F!C234</f>
        <v>Evident from direct observation or presence of gnawed limbs, dams, tracks, dens, lodges, or extensive stands of water-killed trees (snags).</v>
      </c>
      <c r="D102" s="131">
        <f>F!D234</f>
        <v>0</v>
      </c>
      <c r="E102" s="187">
        <v>3</v>
      </c>
      <c r="F102" s="187">
        <f>D102*E102</f>
        <v>0</v>
      </c>
      <c r="G102" s="292"/>
      <c r="H102" s="1670"/>
      <c r="I102" s="1866"/>
    </row>
    <row r="103" spans="1:9" ht="42" customHeight="1" x14ac:dyDescent="0.2">
      <c r="A103" s="1723"/>
      <c r="B103" s="1667"/>
      <c r="C103" s="325" t="str">
        <f>F!C235</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103" s="132">
        <f>F!D235</f>
        <v>0</v>
      </c>
      <c r="E103" s="187">
        <v>2</v>
      </c>
      <c r="F103" s="187">
        <f>D103*E103</f>
        <v>0</v>
      </c>
      <c r="G103" s="293"/>
      <c r="H103" s="1670"/>
      <c r="I103" s="1866"/>
    </row>
    <row r="104" spans="1:9" ht="27" customHeight="1" thickBot="1" x14ac:dyDescent="0.25">
      <c r="A104" s="1723"/>
      <c r="B104" s="1667"/>
      <c r="C104" s="325" t="str">
        <f>F!C236</f>
        <v xml:space="preserve">Unlikely because site characteristics above are deficient, and/or this is a settled area or other area where beaver are routinely removed. </v>
      </c>
      <c r="D104" s="132">
        <f>F!D236</f>
        <v>0</v>
      </c>
      <c r="E104" s="187">
        <v>0</v>
      </c>
      <c r="F104" s="187">
        <f>D104*E104</f>
        <v>0</v>
      </c>
      <c r="G104" s="293"/>
      <c r="H104" s="1670"/>
      <c r="I104" s="1867"/>
    </row>
    <row r="105" spans="1:9" ht="21" customHeight="1" thickBot="1" x14ac:dyDescent="0.25">
      <c r="A105" s="1721" t="str">
        <f>F!A237</f>
        <v>F50</v>
      </c>
      <c r="B105" s="1669" t="str">
        <f>F!B237</f>
        <v>Groundwater Strength of Evidence</v>
      </c>
      <c r="C105" s="55" t="str">
        <f>F!C237</f>
        <v>Select first applicable choice:</v>
      </c>
      <c r="D105" s="191"/>
      <c r="E105" s="191"/>
      <c r="F105" s="192"/>
      <c r="G105" s="327">
        <f>MAX(F106:F108)/MAX(E106:E108)</f>
        <v>0</v>
      </c>
      <c r="H105" s="1669" t="s">
        <v>1561</v>
      </c>
      <c r="I105" s="1865" t="s">
        <v>129</v>
      </c>
    </row>
    <row r="106" spans="1:9" ht="42" customHeight="1" x14ac:dyDescent="0.2">
      <c r="A106" s="1703"/>
      <c r="B106" s="1670"/>
      <c r="C106" s="335"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106" s="183">
        <f>F!D238</f>
        <v>0</v>
      </c>
      <c r="E106" s="187">
        <v>3</v>
      </c>
      <c r="F106" s="187">
        <f>D106*E106</f>
        <v>0</v>
      </c>
      <c r="G106" s="383"/>
      <c r="H106" s="1670"/>
      <c r="I106" s="1866"/>
    </row>
    <row r="107" spans="1:9" ht="27" customHeight="1" x14ac:dyDescent="0.2">
      <c r="A107" s="1703"/>
      <c r="B107" s="1670"/>
      <c r="C107" s="182" t="str">
        <f>F!C239</f>
        <v>Most of the AA has a slope of &gt;5%, or is very close to the base of a natural slope longer than 100 and much steeper than the slope of the AA,  AND the pH of surface water, if known, is &gt;5.5.</v>
      </c>
      <c r="D107" s="128">
        <f>F!D239</f>
        <v>0</v>
      </c>
      <c r="E107" s="187">
        <v>2</v>
      </c>
      <c r="F107" s="187">
        <f>D107*E107</f>
        <v>0</v>
      </c>
      <c r="G107" s="384"/>
      <c r="H107" s="1670"/>
      <c r="I107" s="1866"/>
    </row>
    <row r="108" spans="1:9" ht="27" customHeight="1" thickBot="1" x14ac:dyDescent="0.25">
      <c r="A108" s="1722"/>
      <c r="B108" s="1671"/>
      <c r="C108" s="242" t="str">
        <f>F!C240</f>
        <v>Neither of above is true, although some groundwater may discharge to or flow through the AA. Or groundwater influx is unknown.</v>
      </c>
      <c r="D108" s="84">
        <f>F!D240</f>
        <v>0</v>
      </c>
      <c r="E108" s="188">
        <v>0</v>
      </c>
      <c r="F108" s="188">
        <f>D108*E108</f>
        <v>0</v>
      </c>
      <c r="G108" s="294"/>
      <c r="H108" s="1671"/>
      <c r="I108" s="1867"/>
    </row>
    <row r="109" spans="1:9" ht="48" customHeight="1" thickBot="1" x14ac:dyDescent="0.25">
      <c r="A109" s="1696" t="str">
        <f>F!A247</f>
        <v>F52</v>
      </c>
      <c r="B109" s="1696" t="str">
        <f>F!B247</f>
        <v>Vegetated Buffer as % of Perimeter</v>
      </c>
      <c r="C109" s="245" t="str">
        <f>F!C247</f>
        <v>Within a zone extending 30 m laterally from the AA's edge with upland and/or other wetlands, the percentage that contains perennial vegetation cover (except lawns, row crops, heavily grazed land, conifer plantations) is:</v>
      </c>
      <c r="D109" s="191"/>
      <c r="E109" s="186"/>
      <c r="F109" s="208"/>
      <c r="G109" s="297">
        <f>MAX(F110:F114)/MAX(E110:E114)</f>
        <v>0</v>
      </c>
      <c r="H109" s="1696" t="s">
        <v>1565</v>
      </c>
      <c r="I109" s="1865" t="s">
        <v>153</v>
      </c>
    </row>
    <row r="110" spans="1:9" ht="24" customHeight="1" x14ac:dyDescent="0.2">
      <c r="A110" s="1696"/>
      <c r="B110" s="1696"/>
      <c r="C110" s="901" t="str">
        <f>F!C248</f>
        <v>&lt;5%.</v>
      </c>
      <c r="D110" s="128">
        <f>F!D248</f>
        <v>0</v>
      </c>
      <c r="E110" s="203">
        <v>0</v>
      </c>
      <c r="F110" s="187">
        <f>D110*E110</f>
        <v>0</v>
      </c>
      <c r="G110" s="292"/>
      <c r="H110" s="1696"/>
      <c r="I110" s="1866"/>
    </row>
    <row r="111" spans="1:9" ht="24" customHeight="1" x14ac:dyDescent="0.2">
      <c r="A111" s="1696"/>
      <c r="B111" s="1696"/>
      <c r="C111" s="628" t="str">
        <f>F!C249</f>
        <v>5 to 30%.</v>
      </c>
      <c r="D111" s="33">
        <f>F!D249</f>
        <v>0</v>
      </c>
      <c r="E111" s="203">
        <v>2</v>
      </c>
      <c r="F111" s="187">
        <f>D111*E111</f>
        <v>0</v>
      </c>
      <c r="G111" s="293"/>
      <c r="H111" s="1696"/>
      <c r="I111" s="1866"/>
    </row>
    <row r="112" spans="1:9" ht="24" customHeight="1" x14ac:dyDescent="0.2">
      <c r="A112" s="1696"/>
      <c r="B112" s="1696"/>
      <c r="C112" s="628" t="str">
        <f>F!C250</f>
        <v>30 to 60%.</v>
      </c>
      <c r="D112" s="33">
        <f>F!D250</f>
        <v>0</v>
      </c>
      <c r="E112" s="203">
        <v>3</v>
      </c>
      <c r="F112" s="187">
        <f>D112*E112</f>
        <v>0</v>
      </c>
      <c r="G112" s="293"/>
      <c r="H112" s="1696"/>
      <c r="I112" s="1866"/>
    </row>
    <row r="113" spans="1:10" ht="24" customHeight="1" x14ac:dyDescent="0.2">
      <c r="A113" s="1696"/>
      <c r="B113" s="1696"/>
      <c r="C113" s="812" t="str">
        <f>F!C251</f>
        <v>60 to 90%.</v>
      </c>
      <c r="D113" s="33">
        <f>F!D251</f>
        <v>0</v>
      </c>
      <c r="E113" s="203">
        <v>4</v>
      </c>
      <c r="F113" s="187">
        <f>D113*E113</f>
        <v>0</v>
      </c>
      <c r="G113" s="293"/>
      <c r="H113" s="1696"/>
      <c r="I113" s="1866"/>
    </row>
    <row r="114" spans="1:10" ht="24" customHeight="1" thickBot="1" x14ac:dyDescent="0.25">
      <c r="A114" s="1696"/>
      <c r="B114" s="1696"/>
      <c r="C114" s="677" t="str">
        <f>F!C252</f>
        <v>&gt;90%, or all the area within 30 m of the AA edge is other wetlands. SKIP to F55.</v>
      </c>
      <c r="D114" s="84">
        <f>F!D252</f>
        <v>0</v>
      </c>
      <c r="E114" s="321">
        <v>6</v>
      </c>
      <c r="F114" s="190">
        <f>D114*E114</f>
        <v>0</v>
      </c>
      <c r="G114" s="302"/>
      <c r="H114" s="1696"/>
      <c r="I114" s="1867"/>
    </row>
    <row r="115" spans="1:10" ht="102" customHeight="1" thickBot="1" x14ac:dyDescent="0.25">
      <c r="A115" s="1693" t="str">
        <f>F!A253</f>
        <v>F53</v>
      </c>
      <c r="B115" s="1693" t="str">
        <f>F!B253</f>
        <v>Type of Cover in Buffer</v>
      </c>
      <c r="C115" s="3" t="str">
        <f>F!C253</f>
        <v>Within 30 m upslope of where the wetland transitions to upland, the upland land cover that is NOT perennial vegetation is mostly (mark ONE):</v>
      </c>
      <c r="D115" s="202"/>
      <c r="E115" s="191"/>
      <c r="F115" s="209"/>
      <c r="G115" s="291">
        <f>IF((NoCA=1),"",IF((BuffAllNat=1),"",MAX(F116:F117)/MAX(E116:E117)))</f>
        <v>0</v>
      </c>
      <c r="H115" s="1802" t="s">
        <v>2884</v>
      </c>
      <c r="I115" s="1865" t="s">
        <v>132</v>
      </c>
    </row>
    <row r="116" spans="1:10" s="2" customFormat="1" ht="67.5" customHeight="1" x14ac:dyDescent="0.2">
      <c r="A116" s="1696"/>
      <c r="B116" s="1696"/>
      <c r="C116" s="813" t="str">
        <f>F!C254</f>
        <v>Impervious surface, e.g., paved road, parking lot, building, exposed rock.</v>
      </c>
      <c r="D116" s="33">
        <f>F!D254</f>
        <v>0</v>
      </c>
      <c r="E116" s="203">
        <v>0</v>
      </c>
      <c r="F116" s="187">
        <f>D116*E116</f>
        <v>0</v>
      </c>
      <c r="G116" s="383"/>
      <c r="H116" s="1803"/>
      <c r="I116" s="1866"/>
      <c r="J116" s="56"/>
    </row>
    <row r="117" spans="1:10" s="2" customFormat="1" ht="60" customHeight="1" thickBot="1" x14ac:dyDescent="0.25">
      <c r="A117" s="1712"/>
      <c r="B117" s="1712"/>
      <c r="C117" s="626" t="str">
        <f>F!C255</f>
        <v>Bare or nearly bare pervious surface or managed vegetation, e.g., lawn, row crops, unpaved road, dike, landslide.</v>
      </c>
      <c r="D117" s="935">
        <f>F!D255</f>
        <v>0</v>
      </c>
      <c r="E117" s="188">
        <v>1</v>
      </c>
      <c r="F117" s="188">
        <f>D117*E117</f>
        <v>0</v>
      </c>
      <c r="G117" s="385"/>
      <c r="H117" s="1804"/>
      <c r="I117" s="1867"/>
      <c r="J117" s="56"/>
    </row>
    <row r="118" spans="1:10" ht="66.75" customHeight="1" thickBot="1" x14ac:dyDescent="0.25">
      <c r="A118" s="333" t="str">
        <f>S!A3</f>
        <v>S1</v>
      </c>
      <c r="B118" s="416" t="str">
        <f>S!B3</f>
        <v>Aberrant Timing of Water Inputs</v>
      </c>
      <c r="C118" s="412" t="s">
        <v>2588</v>
      </c>
      <c r="D118" s="150">
        <f>S!F24</f>
        <v>0</v>
      </c>
      <c r="E118" s="421"/>
      <c r="F118" s="200"/>
      <c r="G118" s="417" t="str">
        <f>IF((Inflows=0),"", 1-D118)</f>
        <v/>
      </c>
      <c r="H118" s="68" t="s">
        <v>1849</v>
      </c>
      <c r="I118" s="894" t="s">
        <v>136</v>
      </c>
    </row>
    <row r="119" spans="1:10" ht="45" customHeight="1" thickBot="1" x14ac:dyDescent="0.25">
      <c r="A119" s="283" t="str">
        <f>S!A25</f>
        <v>S2</v>
      </c>
      <c r="B119" s="3" t="str">
        <f>S!B25</f>
        <v>Accelerated Inputs of Contaminants and/or Salts</v>
      </c>
      <c r="C119" s="173" t="s">
        <v>2588</v>
      </c>
      <c r="D119" s="121">
        <f>S!F37</f>
        <v>0</v>
      </c>
      <c r="E119" s="220"/>
      <c r="F119" s="199"/>
      <c r="G119" s="291">
        <f>1-D119</f>
        <v>1</v>
      </c>
      <c r="H119" s="36" t="s">
        <v>1566</v>
      </c>
      <c r="I119" s="894" t="s">
        <v>1667</v>
      </c>
    </row>
    <row r="120" spans="1:10" ht="68.25" customHeight="1" thickBot="1" x14ac:dyDescent="0.25">
      <c r="A120" s="31" t="str">
        <f>S!A51</f>
        <v>S4</v>
      </c>
      <c r="B120" s="334" t="str">
        <f>S!B51</f>
        <v>Excessive Sediment Loading from Contributing Area</v>
      </c>
      <c r="C120" s="412" t="s">
        <v>2588</v>
      </c>
      <c r="D120" s="131">
        <f>S!F68</f>
        <v>0</v>
      </c>
      <c r="E120" s="217"/>
      <c r="F120" s="189"/>
      <c r="G120" s="297">
        <f>1-D120</f>
        <v>1</v>
      </c>
      <c r="H120" s="624" t="s">
        <v>1562</v>
      </c>
      <c r="I120" s="894" t="s">
        <v>137</v>
      </c>
    </row>
    <row r="121" spans="1:10" s="58" customFormat="1" ht="36" customHeight="1" thickBot="1" x14ac:dyDescent="0.25">
      <c r="A121" s="863" t="s">
        <v>88</v>
      </c>
      <c r="B121" s="864" t="s">
        <v>2435</v>
      </c>
      <c r="C121" s="852" t="s">
        <v>1164</v>
      </c>
      <c r="D121" s="851" t="s">
        <v>45</v>
      </c>
      <c r="E121" s="927" t="s">
        <v>1188</v>
      </c>
      <c r="F121" s="928" t="s">
        <v>1189</v>
      </c>
      <c r="G121" s="929" t="s">
        <v>2558</v>
      </c>
      <c r="H121" s="850" t="s">
        <v>1117</v>
      </c>
      <c r="I121" s="931" t="s">
        <v>2427</v>
      </c>
    </row>
    <row r="122" spans="1:10" ht="21" customHeight="1" thickBot="1" x14ac:dyDescent="0.25">
      <c r="A122" s="1669" t="str">
        <f>OF!A50</f>
        <v>OF10</v>
      </c>
      <c r="B122" s="1669" t="str">
        <f>OF!B50</f>
        <v>Distance by Road to Nearest Population Center</v>
      </c>
      <c r="C122" s="55" t="str">
        <f>OF!C50</f>
        <v>Measured along the maintained road nearest the AA, the distance to the nearest population center is:</v>
      </c>
      <c r="D122" s="191"/>
      <c r="E122" s="422"/>
      <c r="F122" s="422"/>
      <c r="G122" s="310">
        <f>MAX(F123:F127)/MAX(E123:E127)</f>
        <v>0</v>
      </c>
      <c r="H122" s="1669" t="s">
        <v>1096</v>
      </c>
      <c r="I122" s="1865" t="s">
        <v>1665</v>
      </c>
    </row>
    <row r="123" spans="1:10" ht="15" customHeight="1" x14ac:dyDescent="0.2">
      <c r="A123" s="1670"/>
      <c r="B123" s="1670"/>
      <c r="C123" s="51" t="str">
        <f>OF!C51</f>
        <v>&lt;100 m.</v>
      </c>
      <c r="D123" s="144">
        <f>OF!D51</f>
        <v>0</v>
      </c>
      <c r="E123" s="211">
        <v>4</v>
      </c>
      <c r="F123" s="187">
        <f>D123*E123</f>
        <v>0</v>
      </c>
      <c r="G123" s="293"/>
      <c r="H123" s="1670"/>
      <c r="I123" s="1866"/>
    </row>
    <row r="124" spans="1:10" ht="15" customHeight="1" x14ac:dyDescent="0.2">
      <c r="A124" s="1670"/>
      <c r="B124" s="1670"/>
      <c r="C124" s="413" t="str">
        <f>OF!C52</f>
        <v>100 - 500 m.</v>
      </c>
      <c r="D124" s="152">
        <f>OF!D52</f>
        <v>0</v>
      </c>
      <c r="E124" s="211">
        <v>3</v>
      </c>
      <c r="F124" s="187">
        <f>D124*E124</f>
        <v>0</v>
      </c>
      <c r="G124" s="293"/>
      <c r="H124" s="1670"/>
      <c r="I124" s="1866"/>
    </row>
    <row r="125" spans="1:10" ht="15" customHeight="1" x14ac:dyDescent="0.2">
      <c r="A125" s="1670"/>
      <c r="B125" s="1670"/>
      <c r="C125" s="413" t="str">
        <f>OF!C53</f>
        <v>0.5- 1 km.</v>
      </c>
      <c r="D125" s="152">
        <f>OF!D53</f>
        <v>0</v>
      </c>
      <c r="E125" s="211">
        <v>2</v>
      </c>
      <c r="F125" s="187">
        <f>D125*E125</f>
        <v>0</v>
      </c>
      <c r="G125" s="293"/>
      <c r="H125" s="1670"/>
      <c r="I125" s="1866"/>
    </row>
    <row r="126" spans="1:10" ht="15" customHeight="1" x14ac:dyDescent="0.2">
      <c r="A126" s="1670"/>
      <c r="B126" s="1670"/>
      <c r="C126" s="413" t="str">
        <f>OF!C54</f>
        <v>1 - 5 km.</v>
      </c>
      <c r="D126" s="152">
        <f>OF!D54</f>
        <v>0</v>
      </c>
      <c r="E126" s="211">
        <v>1</v>
      </c>
      <c r="F126" s="187">
        <f>D126*E126</f>
        <v>0</v>
      </c>
      <c r="G126" s="293"/>
      <c r="H126" s="1670"/>
      <c r="I126" s="1866"/>
    </row>
    <row r="127" spans="1:10" ht="15" customHeight="1" thickBot="1" x14ac:dyDescent="0.25">
      <c r="A127" s="1671"/>
      <c r="B127" s="1671"/>
      <c r="C127" s="414" t="str">
        <f>OF!C55</f>
        <v>&gt;5 km.</v>
      </c>
      <c r="D127" s="153">
        <f>OF!D55</f>
        <v>0</v>
      </c>
      <c r="E127" s="215">
        <v>0</v>
      </c>
      <c r="F127" s="188">
        <f>D127*E127</f>
        <v>0</v>
      </c>
      <c r="G127" s="294"/>
      <c r="H127" s="1671"/>
      <c r="I127" s="1867"/>
    </row>
    <row r="128" spans="1:10" ht="21" customHeight="1" thickBot="1" x14ac:dyDescent="0.25">
      <c r="A128" s="1853" t="str">
        <f>OF!A56</f>
        <v>OF11</v>
      </c>
      <c r="B128" s="1670" t="str">
        <f>OF!B56</f>
        <v>Distance to Nearest Maintained Road</v>
      </c>
      <c r="C128" s="55" t="str">
        <f>OF!C56</f>
        <v>From the center of the AA, the distance to the nearest maintained public road (dirt or paved) is:</v>
      </c>
      <c r="D128" s="191"/>
      <c r="E128" s="217"/>
      <c r="F128" s="423"/>
      <c r="G128" s="304">
        <f>MAX(F129:F134)/MAX(E129:E134)</f>
        <v>0</v>
      </c>
      <c r="H128" s="1670" t="s">
        <v>1097</v>
      </c>
      <c r="I128" s="1865" t="s">
        <v>1666</v>
      </c>
    </row>
    <row r="129" spans="1:9" ht="15" customHeight="1" x14ac:dyDescent="0.2">
      <c r="A129" s="1853"/>
      <c r="B129" s="1670"/>
      <c r="C129" s="51" t="str">
        <f>OF!C57</f>
        <v>&lt;10 m.</v>
      </c>
      <c r="D129" s="144">
        <f>OF!D57</f>
        <v>0</v>
      </c>
      <c r="E129" s="211">
        <v>5</v>
      </c>
      <c r="F129" s="187">
        <f t="shared" ref="F129:F134" si="3">D129*E129</f>
        <v>0</v>
      </c>
      <c r="G129" s="293"/>
      <c r="H129" s="1670"/>
      <c r="I129" s="1866"/>
    </row>
    <row r="130" spans="1:9" ht="15" customHeight="1" x14ac:dyDescent="0.2">
      <c r="A130" s="1853"/>
      <c r="B130" s="1670"/>
      <c r="C130" s="413" t="str">
        <f>OF!C58</f>
        <v>10 - 25 m.</v>
      </c>
      <c r="D130" s="152">
        <f>OF!D58</f>
        <v>0</v>
      </c>
      <c r="E130" s="211">
        <v>4</v>
      </c>
      <c r="F130" s="187">
        <f t="shared" si="3"/>
        <v>0</v>
      </c>
      <c r="G130" s="293"/>
      <c r="H130" s="1670"/>
      <c r="I130" s="1866"/>
    </row>
    <row r="131" spans="1:9" ht="15" customHeight="1" x14ac:dyDescent="0.2">
      <c r="A131" s="1853"/>
      <c r="B131" s="1670"/>
      <c r="C131" s="413" t="str">
        <f>OF!C59</f>
        <v>25 - 50 m.</v>
      </c>
      <c r="D131" s="152">
        <f>OF!D59</f>
        <v>0</v>
      </c>
      <c r="E131" s="211">
        <v>3</v>
      </c>
      <c r="F131" s="187">
        <f t="shared" si="3"/>
        <v>0</v>
      </c>
      <c r="G131" s="293"/>
      <c r="H131" s="1670"/>
      <c r="I131" s="1866"/>
    </row>
    <row r="132" spans="1:9" ht="15" customHeight="1" x14ac:dyDescent="0.2">
      <c r="A132" s="1853"/>
      <c r="B132" s="1670"/>
      <c r="C132" s="413" t="str">
        <f>OF!C60</f>
        <v>50 - 100 m.</v>
      </c>
      <c r="D132" s="152">
        <f>OF!D60</f>
        <v>0</v>
      </c>
      <c r="E132" s="211">
        <v>2</v>
      </c>
      <c r="F132" s="187">
        <f t="shared" si="3"/>
        <v>0</v>
      </c>
      <c r="G132" s="293"/>
      <c r="H132" s="1670"/>
      <c r="I132" s="1866"/>
    </row>
    <row r="133" spans="1:9" ht="15" customHeight="1" x14ac:dyDescent="0.2">
      <c r="A133" s="1853"/>
      <c r="B133" s="1670"/>
      <c r="C133" s="413" t="str">
        <f>OF!C61</f>
        <v>100 - 500 m.</v>
      </c>
      <c r="D133" s="152">
        <f>OF!D61</f>
        <v>0</v>
      </c>
      <c r="E133" s="211">
        <v>1</v>
      </c>
      <c r="F133" s="187">
        <f t="shared" si="3"/>
        <v>0</v>
      </c>
      <c r="G133" s="293"/>
      <c r="H133" s="1670"/>
      <c r="I133" s="1866"/>
    </row>
    <row r="134" spans="1:9" ht="15" customHeight="1" thickBot="1" x14ac:dyDescent="0.25">
      <c r="A134" s="1853"/>
      <c r="B134" s="1670"/>
      <c r="C134" s="415" t="str">
        <f>OF!C62</f>
        <v>&gt;500 m.</v>
      </c>
      <c r="D134" s="154">
        <f>OF!D62</f>
        <v>0</v>
      </c>
      <c r="E134" s="213">
        <v>0</v>
      </c>
      <c r="F134" s="190">
        <f t="shared" si="3"/>
        <v>0</v>
      </c>
      <c r="G134" s="302"/>
      <c r="H134" s="1670"/>
      <c r="I134" s="1867"/>
    </row>
    <row r="135" spans="1:9" ht="60" customHeight="1" thickBot="1" x14ac:dyDescent="0.25">
      <c r="A135" s="1669" t="str">
        <f>F!A282</f>
        <v>F60</v>
      </c>
      <c r="B135" s="1669" t="str">
        <f>F!B282</f>
        <v xml:space="preserve">Unvisited Core Area </v>
      </c>
      <c r="C135" s="240" t="str">
        <f>F!C282</f>
        <v>The percentage of the AA almost never visited by humans during an average growing season probably comprises: [Note: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v>
      </c>
      <c r="D135" s="390"/>
      <c r="E135" s="218"/>
      <c r="F135" s="191"/>
      <c r="G135" s="310">
        <f>MAX(F136:F141)/MAX(E136:E141)</f>
        <v>0</v>
      </c>
      <c r="H135" s="1669" t="s">
        <v>1098</v>
      </c>
      <c r="I135" s="1865" t="s">
        <v>1026</v>
      </c>
    </row>
    <row r="136" spans="1:9" ht="15" customHeight="1" x14ac:dyDescent="0.2">
      <c r="A136" s="1670"/>
      <c r="B136" s="1670"/>
      <c r="C136" s="813" t="str">
        <f>F!C283</f>
        <v>&lt;5% and no inhabited building is within 100 m of the AA.</v>
      </c>
      <c r="D136" s="33">
        <f>F!D283</f>
        <v>0</v>
      </c>
      <c r="E136" s="672">
        <v>3</v>
      </c>
      <c r="F136" s="187">
        <f t="shared" ref="F136:F141" si="4">D136*E136</f>
        <v>0</v>
      </c>
      <c r="G136" s="293"/>
      <c r="H136" s="1670"/>
      <c r="I136" s="1866"/>
    </row>
    <row r="137" spans="1:9" ht="15" customHeight="1" x14ac:dyDescent="0.2">
      <c r="A137" s="1670"/>
      <c r="B137" s="1670"/>
      <c r="C137" s="812" t="str">
        <f>F!C284</f>
        <v>&lt;5% and inhabited building is within 100 m of the AA.</v>
      </c>
      <c r="D137" s="183">
        <f>F!D284</f>
        <v>0</v>
      </c>
      <c r="E137" s="672">
        <v>3</v>
      </c>
      <c r="F137" s="187">
        <f t="shared" si="4"/>
        <v>0</v>
      </c>
      <c r="G137" s="293"/>
      <c r="H137" s="1670"/>
      <c r="I137" s="1866"/>
    </row>
    <row r="138" spans="1:9" ht="15" customHeight="1" x14ac:dyDescent="0.2">
      <c r="A138" s="1670"/>
      <c r="B138" s="1670"/>
      <c r="C138" s="811" t="str">
        <f>F!C285</f>
        <v>5-50% and no inhabited building is within 100 m of the AA.</v>
      </c>
      <c r="D138" s="33">
        <f>F!D285</f>
        <v>0</v>
      </c>
      <c r="E138" s="672">
        <v>2</v>
      </c>
      <c r="F138" s="187">
        <f t="shared" si="4"/>
        <v>0</v>
      </c>
      <c r="G138" s="293"/>
      <c r="H138" s="1670"/>
      <c r="I138" s="1866"/>
    </row>
    <row r="139" spans="1:9" ht="15" customHeight="1" x14ac:dyDescent="0.2">
      <c r="A139" s="1670"/>
      <c r="B139" s="1670"/>
      <c r="C139" s="628" t="str">
        <f>F!C286</f>
        <v>5-50% and inhabited building is within 100 m of the AA.</v>
      </c>
      <c r="D139" s="33">
        <f>F!D286</f>
        <v>0</v>
      </c>
      <c r="E139" s="672">
        <v>2</v>
      </c>
      <c r="F139" s="187">
        <f t="shared" si="4"/>
        <v>0</v>
      </c>
      <c r="G139" s="293"/>
      <c r="H139" s="1670"/>
      <c r="I139" s="1866"/>
    </row>
    <row r="140" spans="1:9" ht="15" customHeight="1" x14ac:dyDescent="0.2">
      <c r="A140" s="1670"/>
      <c r="B140" s="1670"/>
      <c r="C140" s="812" t="str">
        <f>F!C287</f>
        <v>50-95%, with or without inhabited building nearby.</v>
      </c>
      <c r="D140" s="183">
        <f>F!D287</f>
        <v>0</v>
      </c>
      <c r="E140" s="672">
        <v>1</v>
      </c>
      <c r="F140" s="187">
        <f t="shared" si="4"/>
        <v>0</v>
      </c>
      <c r="G140" s="293"/>
      <c r="H140" s="1670"/>
      <c r="I140" s="1866"/>
    </row>
    <row r="141" spans="1:9" ht="15" customHeight="1" thickBot="1" x14ac:dyDescent="0.25">
      <c r="A141" s="1670"/>
      <c r="B141" s="1670"/>
      <c r="C141" s="677" t="str">
        <f>F!C288</f>
        <v>&gt;95% of the AA with or without inhabited building nearby.</v>
      </c>
      <c r="D141" s="84">
        <f>F!D288</f>
        <v>0</v>
      </c>
      <c r="E141" s="712">
        <v>0</v>
      </c>
      <c r="F141" s="190">
        <f t="shared" si="4"/>
        <v>0</v>
      </c>
      <c r="G141" s="302"/>
      <c r="H141" s="1670"/>
      <c r="I141" s="1867"/>
    </row>
    <row r="142" spans="1:9" ht="30" customHeight="1" thickBot="1" x14ac:dyDescent="0.25">
      <c r="A142" s="36" t="str">
        <f>F!A296</f>
        <v>F64</v>
      </c>
      <c r="B142" s="36" t="str">
        <f>F!B296</f>
        <v xml:space="preserve">Consumptive Uses (Provisioning Services)  </v>
      </c>
      <c r="C142" s="89" t="str">
        <f>F!C300</f>
        <v>Fishing.</v>
      </c>
      <c r="D142" s="114">
        <f>F!D300</f>
        <v>0</v>
      </c>
      <c r="E142" s="220"/>
      <c r="F142" s="220"/>
      <c r="G142" s="648"/>
      <c r="H142" s="3" t="s">
        <v>39</v>
      </c>
      <c r="I142" s="894" t="s">
        <v>138</v>
      </c>
    </row>
    <row r="143" spans="1:9" ht="45" customHeight="1" thickBot="1" x14ac:dyDescent="0.25">
      <c r="A143" s="623"/>
      <c r="B143" s="445" t="str">
        <f>WBF!C171</f>
        <v>Function Score for Feeding Waterbird Habitat</v>
      </c>
      <c r="C143" s="381"/>
      <c r="D143" s="454"/>
      <c r="E143" s="454"/>
      <c r="F143" s="646"/>
      <c r="G143" s="647">
        <f>WBF!G171/10</f>
        <v>5.5555555555555546E-2</v>
      </c>
      <c r="H143" s="624" t="s">
        <v>582</v>
      </c>
      <c r="I143" s="894" t="s">
        <v>139</v>
      </c>
    </row>
    <row r="144" spans="1:9" ht="21" customHeight="1" thickBot="1" x14ac:dyDescent="0.25">
      <c r="A144" s="1859"/>
      <c r="B144" s="1859"/>
      <c r="C144" s="1859"/>
      <c r="D144" s="1859"/>
      <c r="E144" s="1859"/>
      <c r="F144" s="1859"/>
      <c r="G144" s="1859"/>
      <c r="H144" s="1859"/>
    </row>
    <row r="145" spans="1:10" ht="24.75" customHeight="1" x14ac:dyDescent="0.2">
      <c r="A145" s="1841"/>
      <c r="B145" s="1841"/>
      <c r="C145" s="1841"/>
      <c r="D145" s="1944" t="s">
        <v>613</v>
      </c>
      <c r="E145" s="1945"/>
      <c r="F145" s="1945"/>
      <c r="G145" s="932">
        <f>AVERAGE(SatPct9, Depth9,MAX(SeasWpct9, PermWpct9), Interspers9,ThruFlo9)</f>
        <v>0</v>
      </c>
      <c r="H145" s="1029" t="s">
        <v>2074</v>
      </c>
      <c r="I145" s="1030" t="s">
        <v>2127</v>
      </c>
    </row>
    <row r="146" spans="1:10" ht="28.5" customHeight="1" x14ac:dyDescent="0.2">
      <c r="A146" s="1841"/>
      <c r="B146" s="1841"/>
      <c r="C146" s="1841"/>
      <c r="D146" s="1988" t="s">
        <v>121</v>
      </c>
      <c r="E146" s="1989"/>
      <c r="F146" s="1989"/>
      <c r="G146" s="933">
        <f>IF((AllSat1=1),"", AVERAGE(Beaver9,AVERAGE(Wettype9,WoodAbove9, AqPlantCov9, Shade9)))</f>
        <v>0</v>
      </c>
      <c r="H146" s="1016" t="s">
        <v>1114</v>
      </c>
      <c r="I146" s="1031" t="s">
        <v>2128</v>
      </c>
    </row>
    <row r="147" spans="1:10" ht="21" customHeight="1" x14ac:dyDescent="0.2">
      <c r="A147" s="1841"/>
      <c r="B147" s="1841"/>
      <c r="C147" s="1841"/>
      <c r="D147" s="1988" t="s">
        <v>149</v>
      </c>
      <c r="E147" s="1989"/>
      <c r="F147" s="1989"/>
      <c r="G147" s="933">
        <f>AVERAGE(GroundW9, TidalProx9, Elev9,Wettype9,Nfix9,Karst9a)</f>
        <v>0.16666666666666666</v>
      </c>
      <c r="H147" s="1016" t="s">
        <v>1024</v>
      </c>
      <c r="I147" s="1031" t="s">
        <v>2129</v>
      </c>
    </row>
    <row r="148" spans="1:10" ht="21" customHeight="1" x14ac:dyDescent="0.2">
      <c r="A148" s="1841"/>
      <c r="B148" s="1841"/>
      <c r="C148" s="1841"/>
      <c r="D148" s="1988" t="s">
        <v>118</v>
      </c>
      <c r="E148" s="1989"/>
      <c r="F148" s="1989"/>
      <c r="G148" s="933">
        <f>AVERAGE(BuffPctNat9,BuffLU9, ImpervCA9)</f>
        <v>0</v>
      </c>
      <c r="H148" s="1016" t="s">
        <v>2075</v>
      </c>
      <c r="I148" s="1031" t="s">
        <v>2130</v>
      </c>
    </row>
    <row r="149" spans="1:10" ht="21" customHeight="1" thickBot="1" x14ac:dyDescent="0.25">
      <c r="A149" s="1841"/>
      <c r="B149" s="1841"/>
      <c r="C149" s="1841"/>
      <c r="D149" s="1990" t="s">
        <v>451</v>
      </c>
      <c r="E149" s="1991"/>
      <c r="F149" s="1991"/>
      <c r="G149" s="934">
        <f>MIN(Acid9,ToxicIn9,SedIn9,AltTime9,ToxData9)</f>
        <v>0</v>
      </c>
      <c r="H149" s="1032" t="s">
        <v>2076</v>
      </c>
      <c r="I149" s="1033" t="s">
        <v>2131</v>
      </c>
    </row>
    <row r="150" spans="1:10" ht="21" customHeight="1" thickBot="1" x14ac:dyDescent="0.25">
      <c r="A150" s="1841"/>
      <c r="B150" s="1841"/>
      <c r="C150" s="1841"/>
      <c r="D150" s="1992"/>
      <c r="E150" s="1992"/>
      <c r="F150" s="1992"/>
      <c r="G150" s="1992"/>
      <c r="H150" s="1870"/>
    </row>
    <row r="151" spans="1:10" ht="45" customHeight="1" thickBot="1" x14ac:dyDescent="0.25">
      <c r="A151" s="1870"/>
      <c r="B151" s="1993"/>
      <c r="C151" s="1838" t="s">
        <v>84</v>
      </c>
      <c r="D151" s="1839"/>
      <c r="E151" s="1840"/>
      <c r="F151" s="915" t="s">
        <v>52</v>
      </c>
      <c r="G151" s="919">
        <f>IF((Access9=0),0, IF((AllSat1&gt;0),0, 10*AVERAGE(Access9,OutDura9)*AVERAGE(Hydropd9,Struc9,Produc9,Lscape9,Stress9)))</f>
        <v>0</v>
      </c>
      <c r="H151" s="1996" t="s">
        <v>2273</v>
      </c>
      <c r="I151" s="1997"/>
      <c r="J151" s="87"/>
    </row>
    <row r="152" spans="1:10" ht="30" customHeight="1" thickBot="1" x14ac:dyDescent="0.25">
      <c r="A152" s="1870"/>
      <c r="B152" s="1993"/>
      <c r="C152" s="1838" t="s">
        <v>1911</v>
      </c>
      <c r="D152" s="1839"/>
      <c r="E152" s="1840"/>
      <c r="F152" s="915" t="s">
        <v>53</v>
      </c>
      <c r="G152" s="926">
        <f>10*(AVERAGE(Fishing9, WbirdFeed,Core9, PopCtr9, DistRd9))</f>
        <v>0.1111111111111111</v>
      </c>
      <c r="H152" s="1807" t="s">
        <v>1299</v>
      </c>
      <c r="I152" s="1808"/>
    </row>
    <row r="153" spans="1:10" ht="21" customHeight="1" thickBot="1" x14ac:dyDescent="0.25">
      <c r="A153" s="2"/>
      <c r="B153" s="2"/>
      <c r="D153" s="2"/>
      <c r="E153" s="2"/>
      <c r="F153" s="2"/>
      <c r="G153" s="2"/>
      <c r="H153" s="2"/>
    </row>
    <row r="154" spans="1:10" ht="21" customHeight="1" thickBot="1" x14ac:dyDescent="0.25">
      <c r="A154" s="2"/>
      <c r="B154" s="2"/>
      <c r="D154" s="2"/>
      <c r="E154" s="2"/>
      <c r="F154" s="2"/>
      <c r="G154" s="2"/>
      <c r="H154" s="1913" t="s">
        <v>669</v>
      </c>
      <c r="I154" s="1914"/>
    </row>
    <row r="155" spans="1:10" ht="42" customHeight="1" x14ac:dyDescent="0.2">
      <c r="A155" s="2"/>
      <c r="B155" s="2"/>
      <c r="D155" s="2"/>
      <c r="E155" s="2"/>
      <c r="F155" s="2"/>
      <c r="G155" s="2"/>
      <c r="H155" s="1966" t="s">
        <v>687</v>
      </c>
      <c r="I155" s="1967"/>
    </row>
    <row r="156" spans="1:10" ht="40.5" customHeight="1" x14ac:dyDescent="0.2">
      <c r="A156" s="2"/>
      <c r="B156" s="2"/>
      <c r="D156" s="2"/>
      <c r="E156" s="2"/>
      <c r="F156" s="2"/>
      <c r="G156" s="2"/>
      <c r="H156" s="1792" t="s">
        <v>795</v>
      </c>
      <c r="I156" s="1793"/>
    </row>
    <row r="157" spans="1:10" ht="42" customHeight="1" x14ac:dyDescent="0.2">
      <c r="A157" s="2"/>
      <c r="B157" s="2"/>
      <c r="D157" s="2"/>
      <c r="E157" s="2"/>
      <c r="F157" s="2"/>
      <c r="G157" s="2"/>
      <c r="H157" s="1792" t="s">
        <v>796</v>
      </c>
      <c r="I157" s="1793"/>
    </row>
    <row r="158" spans="1:10" ht="84" customHeight="1" x14ac:dyDescent="0.2">
      <c r="A158" s="2"/>
      <c r="B158" s="2"/>
      <c r="D158" s="2"/>
      <c r="E158" s="2"/>
      <c r="F158" s="2"/>
      <c r="G158" s="2"/>
      <c r="H158" s="1792" t="s">
        <v>1195</v>
      </c>
      <c r="I158" s="1793"/>
    </row>
    <row r="159" spans="1:10" ht="42" customHeight="1" x14ac:dyDescent="0.2">
      <c r="A159" s="2"/>
      <c r="B159" s="2"/>
      <c r="D159" s="2"/>
      <c r="E159" s="2"/>
      <c r="F159" s="2"/>
      <c r="G159" s="2"/>
      <c r="H159" s="1792" t="s">
        <v>1345</v>
      </c>
      <c r="I159" s="1793"/>
    </row>
    <row r="160" spans="1:10" ht="27" customHeight="1" x14ac:dyDescent="0.2">
      <c r="A160" s="2"/>
      <c r="B160" s="2"/>
      <c r="D160" s="2"/>
      <c r="E160" s="2"/>
      <c r="F160" s="2"/>
      <c r="G160" s="2"/>
      <c r="H160" s="1792" t="s">
        <v>797</v>
      </c>
      <c r="I160" s="1793"/>
    </row>
    <row r="161" spans="1:9" ht="42" customHeight="1" x14ac:dyDescent="0.2">
      <c r="A161" s="2"/>
      <c r="B161" s="2"/>
      <c r="D161" s="2"/>
      <c r="E161" s="2"/>
      <c r="F161" s="2"/>
      <c r="G161" s="2"/>
      <c r="H161" s="1792" t="s">
        <v>798</v>
      </c>
      <c r="I161" s="1793"/>
    </row>
    <row r="162" spans="1:9" ht="42" customHeight="1" x14ac:dyDescent="0.2">
      <c r="A162" s="2"/>
      <c r="B162" s="2"/>
      <c r="D162" s="2"/>
      <c r="E162" s="2"/>
      <c r="F162" s="2"/>
      <c r="G162" s="2"/>
      <c r="H162" s="1792" t="s">
        <v>799</v>
      </c>
      <c r="I162" s="1793"/>
    </row>
    <row r="163" spans="1:9" ht="27" customHeight="1" x14ac:dyDescent="0.2">
      <c r="A163" s="2"/>
      <c r="B163" s="2"/>
      <c r="D163" s="2"/>
      <c r="E163" s="2"/>
      <c r="F163" s="2"/>
      <c r="G163" s="2"/>
      <c r="H163" s="1792" t="s">
        <v>1194</v>
      </c>
      <c r="I163" s="1793"/>
    </row>
    <row r="164" spans="1:9" ht="42" customHeight="1" x14ac:dyDescent="0.2">
      <c r="A164" s="2"/>
      <c r="B164" s="2"/>
      <c r="D164" s="2"/>
      <c r="E164" s="2"/>
      <c r="F164" s="2"/>
      <c r="G164" s="2"/>
      <c r="H164" s="1792" t="s">
        <v>1728</v>
      </c>
      <c r="I164" s="1793"/>
    </row>
    <row r="165" spans="1:9" ht="27" customHeight="1" x14ac:dyDescent="0.2">
      <c r="A165" s="2"/>
      <c r="B165" s="2"/>
      <c r="D165" s="2"/>
      <c r="E165" s="2"/>
      <c r="F165" s="2"/>
      <c r="G165" s="2"/>
      <c r="H165" s="1792" t="s">
        <v>800</v>
      </c>
      <c r="I165" s="1793"/>
    </row>
    <row r="166" spans="1:9" ht="42" customHeight="1" x14ac:dyDescent="0.2">
      <c r="A166" s="2"/>
      <c r="B166" s="2"/>
      <c r="D166" s="2"/>
      <c r="E166" s="2"/>
      <c r="F166" s="2"/>
      <c r="G166" s="2"/>
      <c r="H166" s="1792" t="s">
        <v>801</v>
      </c>
      <c r="I166" s="1793"/>
    </row>
    <row r="167" spans="1:9" ht="42" customHeight="1" x14ac:dyDescent="0.2">
      <c r="A167" s="2"/>
      <c r="B167" s="2"/>
      <c r="D167" s="2"/>
      <c r="E167" s="2"/>
      <c r="F167" s="2"/>
      <c r="G167" s="2"/>
      <c r="H167" s="1792" t="s">
        <v>802</v>
      </c>
      <c r="I167" s="1793"/>
    </row>
    <row r="168" spans="1:9" ht="42" customHeight="1" x14ac:dyDescent="0.2">
      <c r="A168" s="2"/>
      <c r="B168" s="2"/>
      <c r="D168" s="2"/>
      <c r="E168" s="2"/>
      <c r="F168" s="2"/>
      <c r="G168" s="2"/>
      <c r="H168" s="1792" t="s">
        <v>803</v>
      </c>
      <c r="I168" s="1793"/>
    </row>
    <row r="169" spans="1:9" ht="27" customHeight="1" x14ac:dyDescent="0.2">
      <c r="A169" s="2"/>
      <c r="B169" s="2"/>
      <c r="D169" s="2"/>
      <c r="E169" s="2"/>
      <c r="F169" s="2"/>
      <c r="G169" s="2"/>
      <c r="H169" s="1792" t="s">
        <v>804</v>
      </c>
      <c r="I169" s="1793"/>
    </row>
    <row r="170" spans="1:9" ht="27" customHeight="1" x14ac:dyDescent="0.2">
      <c r="A170" s="2"/>
      <c r="B170" s="2"/>
      <c r="D170" s="2"/>
      <c r="E170" s="2"/>
      <c r="F170" s="2"/>
      <c r="G170" s="2"/>
      <c r="H170" s="1792" t="s">
        <v>805</v>
      </c>
      <c r="I170" s="1793"/>
    </row>
    <row r="171" spans="1:9" ht="27" customHeight="1" x14ac:dyDescent="0.2">
      <c r="A171" s="2"/>
      <c r="B171" s="2"/>
      <c r="D171" s="2"/>
      <c r="E171" s="2"/>
      <c r="F171" s="2"/>
      <c r="G171" s="2"/>
      <c r="H171" s="1792" t="s">
        <v>1729</v>
      </c>
      <c r="I171" s="1793"/>
    </row>
    <row r="172" spans="1:9" ht="42" customHeight="1" x14ac:dyDescent="0.2">
      <c r="A172" s="2"/>
      <c r="B172" s="2"/>
      <c r="D172" s="2"/>
      <c r="E172" s="2"/>
      <c r="F172" s="2"/>
      <c r="G172" s="2"/>
      <c r="H172" s="1792" t="s">
        <v>807</v>
      </c>
      <c r="I172" s="1793"/>
    </row>
    <row r="173" spans="1:9" ht="27" customHeight="1" x14ac:dyDescent="0.2">
      <c r="A173" s="2"/>
      <c r="B173" s="2"/>
      <c r="D173" s="2"/>
      <c r="E173" s="2"/>
      <c r="F173" s="2"/>
      <c r="G173" s="2"/>
      <c r="H173" s="1792" t="s">
        <v>1730</v>
      </c>
      <c r="I173" s="1793"/>
    </row>
    <row r="174" spans="1:9" ht="42" customHeight="1" x14ac:dyDescent="0.2">
      <c r="A174" s="2"/>
      <c r="B174" s="2"/>
      <c r="D174" s="2"/>
      <c r="E174" s="2"/>
      <c r="F174" s="2"/>
      <c r="G174" s="2"/>
      <c r="H174" s="1792" t="s">
        <v>808</v>
      </c>
      <c r="I174" s="1793"/>
    </row>
    <row r="175" spans="1:9" ht="42" customHeight="1" x14ac:dyDescent="0.2">
      <c r="A175" s="2"/>
      <c r="B175" s="2"/>
      <c r="D175" s="2"/>
      <c r="E175" s="2"/>
      <c r="F175" s="2"/>
      <c r="G175" s="2"/>
      <c r="H175" s="1792" t="s">
        <v>1731</v>
      </c>
      <c r="I175" s="1793"/>
    </row>
    <row r="176" spans="1:9" ht="42" customHeight="1" x14ac:dyDescent="0.2">
      <c r="A176" s="2"/>
      <c r="B176" s="2"/>
      <c r="D176" s="2"/>
      <c r="E176" s="2"/>
      <c r="F176" s="2"/>
      <c r="G176" s="2"/>
      <c r="H176" s="1792" t="s">
        <v>809</v>
      </c>
      <c r="I176" s="1793"/>
    </row>
    <row r="177" spans="1:9" ht="27" customHeight="1" x14ac:dyDescent="0.2">
      <c r="A177" s="2"/>
      <c r="B177" s="2"/>
      <c r="D177" s="2"/>
      <c r="E177" s="2"/>
      <c r="F177" s="2"/>
      <c r="G177" s="2"/>
      <c r="H177" s="1792" t="s">
        <v>696</v>
      </c>
      <c r="I177" s="1793"/>
    </row>
    <row r="178" spans="1:9" ht="27" customHeight="1" x14ac:dyDescent="0.2">
      <c r="A178" s="2"/>
      <c r="B178" s="2"/>
      <c r="D178" s="2"/>
      <c r="E178" s="2"/>
      <c r="F178" s="2"/>
      <c r="G178" s="2"/>
      <c r="H178" s="1792" t="s">
        <v>1732</v>
      </c>
      <c r="I178" s="1793"/>
    </row>
    <row r="179" spans="1:9" ht="42" customHeight="1" x14ac:dyDescent="0.2">
      <c r="A179" s="2"/>
      <c r="B179" s="2"/>
      <c r="D179" s="2"/>
      <c r="E179" s="2"/>
      <c r="F179" s="2"/>
      <c r="G179" s="2"/>
      <c r="H179" s="1792" t="s">
        <v>1346</v>
      </c>
      <c r="I179" s="1793"/>
    </row>
    <row r="180" spans="1:9" ht="27" customHeight="1" x14ac:dyDescent="0.2">
      <c r="A180" s="2"/>
      <c r="B180" s="2"/>
      <c r="D180" s="2"/>
      <c r="E180" s="2"/>
      <c r="F180" s="2"/>
      <c r="G180" s="2"/>
      <c r="H180" s="1792" t="s">
        <v>810</v>
      </c>
      <c r="I180" s="1793"/>
    </row>
    <row r="181" spans="1:9" ht="27" customHeight="1" x14ac:dyDescent="0.2">
      <c r="A181" s="2"/>
      <c r="B181" s="2"/>
      <c r="D181" s="2"/>
      <c r="E181" s="2"/>
      <c r="F181" s="2"/>
      <c r="G181" s="2"/>
      <c r="H181" s="1792" t="s">
        <v>811</v>
      </c>
      <c r="I181" s="1793"/>
    </row>
    <row r="182" spans="1:9" ht="42" customHeight="1" x14ac:dyDescent="0.2">
      <c r="A182" s="2"/>
      <c r="B182" s="2"/>
      <c r="D182" s="2"/>
      <c r="E182" s="2"/>
      <c r="F182" s="2"/>
      <c r="G182" s="2"/>
      <c r="H182" s="1792" t="s">
        <v>1193</v>
      </c>
      <c r="I182" s="1793"/>
    </row>
    <row r="183" spans="1:9" ht="27" customHeight="1" x14ac:dyDescent="0.2">
      <c r="A183" s="2"/>
      <c r="B183" s="2"/>
      <c r="D183" s="2"/>
      <c r="E183" s="2"/>
      <c r="F183" s="2"/>
      <c r="G183" s="2"/>
      <c r="H183" s="1792" t="s">
        <v>1734</v>
      </c>
      <c r="I183" s="1793"/>
    </row>
    <row r="184" spans="1:9" ht="27" customHeight="1" x14ac:dyDescent="0.2">
      <c r="A184" s="2"/>
      <c r="B184" s="2"/>
      <c r="D184" s="2"/>
      <c r="E184" s="2"/>
      <c r="F184" s="2"/>
      <c r="G184" s="2"/>
      <c r="H184" s="1792" t="s">
        <v>812</v>
      </c>
      <c r="I184" s="1793"/>
    </row>
    <row r="185" spans="1:9" ht="27" customHeight="1" x14ac:dyDescent="0.2">
      <c r="A185" s="2"/>
      <c r="B185" s="2"/>
      <c r="D185" s="2"/>
      <c r="E185" s="2"/>
      <c r="F185" s="2"/>
      <c r="G185" s="2"/>
      <c r="H185" s="1792" t="s">
        <v>1110</v>
      </c>
      <c r="I185" s="1793"/>
    </row>
    <row r="186" spans="1:9" ht="57" customHeight="1" x14ac:dyDescent="0.2">
      <c r="A186" s="2"/>
      <c r="B186" s="2"/>
      <c r="D186" s="2"/>
      <c r="E186" s="2"/>
      <c r="F186" s="2"/>
      <c r="G186" s="2"/>
      <c r="H186" s="1792" t="s">
        <v>1733</v>
      </c>
      <c r="I186" s="1793"/>
    </row>
    <row r="187" spans="1:9" ht="42" customHeight="1" x14ac:dyDescent="0.2">
      <c r="A187" s="2"/>
      <c r="B187" s="2"/>
      <c r="D187" s="2"/>
      <c r="E187" s="2"/>
      <c r="F187" s="2"/>
      <c r="G187" s="2"/>
      <c r="H187" s="1792" t="s">
        <v>813</v>
      </c>
      <c r="I187" s="1793"/>
    </row>
    <row r="188" spans="1:9" ht="42" customHeight="1" x14ac:dyDescent="0.2">
      <c r="A188" s="2"/>
      <c r="B188" s="2"/>
      <c r="D188" s="2"/>
      <c r="E188" s="2"/>
      <c r="F188" s="2"/>
      <c r="G188" s="2"/>
      <c r="H188" s="1792" t="s">
        <v>814</v>
      </c>
      <c r="I188" s="1793"/>
    </row>
    <row r="189" spans="1:9" ht="27" customHeight="1" x14ac:dyDescent="0.2">
      <c r="A189" s="2"/>
      <c r="B189" s="2"/>
      <c r="D189" s="2"/>
      <c r="E189" s="2"/>
      <c r="F189" s="2"/>
      <c r="G189" s="2"/>
      <c r="H189" s="1792" t="s">
        <v>686</v>
      </c>
      <c r="I189" s="1793"/>
    </row>
    <row r="190" spans="1:9" ht="27" customHeight="1" x14ac:dyDescent="0.2">
      <c r="A190" s="2"/>
      <c r="B190" s="2"/>
      <c r="D190" s="2"/>
      <c r="E190" s="2"/>
      <c r="F190" s="2"/>
      <c r="G190" s="2"/>
      <c r="H190" s="1792" t="s">
        <v>815</v>
      </c>
      <c r="I190" s="1793"/>
    </row>
    <row r="191" spans="1:9" ht="27" customHeight="1" x14ac:dyDescent="0.2">
      <c r="A191" s="2"/>
      <c r="B191" s="2"/>
      <c r="D191" s="2"/>
      <c r="E191" s="2"/>
      <c r="F191" s="2"/>
      <c r="G191" s="2"/>
      <c r="H191" s="1792" t="s">
        <v>816</v>
      </c>
      <c r="I191" s="1793"/>
    </row>
    <row r="192" spans="1:9" ht="27" customHeight="1" x14ac:dyDescent="0.2">
      <c r="A192" s="10"/>
      <c r="B192" s="2"/>
      <c r="C192" s="6"/>
      <c r="D192" s="63"/>
      <c r="E192" s="63"/>
      <c r="H192" s="1792" t="s">
        <v>1347</v>
      </c>
      <c r="I192" s="1793"/>
    </row>
    <row r="193" spans="1:9" ht="42" customHeight="1" x14ac:dyDescent="0.2">
      <c r="A193" s="10"/>
      <c r="B193" s="2"/>
      <c r="C193" s="6"/>
      <c r="D193" s="63"/>
      <c r="E193" s="63"/>
      <c r="H193" s="1792" t="s">
        <v>818</v>
      </c>
      <c r="I193" s="1793"/>
    </row>
    <row r="194" spans="1:9" ht="42" customHeight="1" thickBot="1" x14ac:dyDescent="0.25">
      <c r="A194" s="10"/>
      <c r="B194" s="2"/>
      <c r="C194" s="6"/>
      <c r="D194" s="63"/>
      <c r="E194" s="63"/>
      <c r="H194" s="1794" t="s">
        <v>819</v>
      </c>
      <c r="I194" s="1795"/>
    </row>
    <row r="195" spans="1:9" x14ac:dyDescent="0.2">
      <c r="A195" s="10"/>
      <c r="B195" s="2"/>
      <c r="C195" s="6"/>
      <c r="D195" s="63"/>
      <c r="E195" s="63"/>
    </row>
    <row r="196" spans="1:9" x14ac:dyDescent="0.2">
      <c r="A196" s="10"/>
      <c r="B196" s="2"/>
      <c r="C196" s="6"/>
      <c r="D196" s="63"/>
      <c r="E196" s="63"/>
      <c r="H196" s="760"/>
    </row>
    <row r="197" spans="1:9" x14ac:dyDescent="0.2">
      <c r="A197" s="10"/>
      <c r="B197" s="2"/>
      <c r="C197" s="6"/>
      <c r="D197" s="63"/>
      <c r="E197" s="63"/>
      <c r="H197" s="756"/>
    </row>
    <row r="198" spans="1:9" x14ac:dyDescent="0.2">
      <c r="A198" s="10"/>
      <c r="B198" s="2"/>
      <c r="C198" s="6"/>
      <c r="D198" s="63"/>
      <c r="E198" s="63"/>
      <c r="H198" s="756"/>
    </row>
    <row r="199" spans="1:9" x14ac:dyDescent="0.2">
      <c r="A199" s="10"/>
      <c r="B199" s="2"/>
      <c r="C199" s="6"/>
      <c r="D199" s="63"/>
      <c r="E199" s="63"/>
      <c r="H199" s="760"/>
    </row>
    <row r="200" spans="1:9" x14ac:dyDescent="0.2">
      <c r="A200" s="10"/>
      <c r="B200" s="2"/>
      <c r="C200" s="6"/>
      <c r="D200" s="63"/>
      <c r="E200" s="63"/>
      <c r="H200" s="760"/>
    </row>
    <row r="201" spans="1:9" x14ac:dyDescent="0.2">
      <c r="A201" s="10"/>
      <c r="B201" s="2"/>
      <c r="C201" s="6"/>
      <c r="D201" s="63"/>
      <c r="E201" s="63"/>
      <c r="H201" s="760"/>
    </row>
    <row r="202" spans="1:9" x14ac:dyDescent="0.2">
      <c r="A202" s="10"/>
      <c r="B202" s="2"/>
      <c r="C202" s="6"/>
      <c r="D202" s="63"/>
      <c r="E202" s="63"/>
      <c r="H202" s="760"/>
    </row>
    <row r="203" spans="1:9" x14ac:dyDescent="0.2">
      <c r="A203" s="10"/>
      <c r="B203" s="2"/>
      <c r="C203" s="6"/>
      <c r="D203" s="63"/>
      <c r="E203" s="63"/>
    </row>
    <row r="204" spans="1:9" x14ac:dyDescent="0.2">
      <c r="A204" s="10"/>
      <c r="B204" s="2"/>
      <c r="C204" s="6"/>
      <c r="D204" s="63"/>
      <c r="E204" s="63"/>
    </row>
    <row r="205" spans="1:9" x14ac:dyDescent="0.2">
      <c r="A205" s="10"/>
      <c r="B205" s="2"/>
      <c r="C205" s="6"/>
      <c r="D205" s="63"/>
      <c r="E205" s="63"/>
    </row>
    <row r="206" spans="1:9" x14ac:dyDescent="0.2">
      <c r="A206" s="10"/>
      <c r="B206" s="2"/>
      <c r="C206" s="6"/>
      <c r="D206" s="63"/>
      <c r="E206" s="63"/>
    </row>
    <row r="207" spans="1:9" x14ac:dyDescent="0.2">
      <c r="A207" s="10"/>
      <c r="B207" s="2"/>
      <c r="C207" s="6"/>
      <c r="D207" s="63"/>
      <c r="E207" s="63"/>
    </row>
    <row r="208" spans="1:9" x14ac:dyDescent="0.2">
      <c r="A208" s="10"/>
      <c r="B208" s="2"/>
      <c r="C208" s="6"/>
      <c r="D208" s="63"/>
      <c r="E208" s="63"/>
    </row>
    <row r="209" spans="1:5" x14ac:dyDescent="0.2">
      <c r="A209" s="10"/>
      <c r="B209" s="2"/>
      <c r="C209" s="6"/>
      <c r="D209" s="63"/>
      <c r="E209" s="63"/>
    </row>
    <row r="210" spans="1:5" x14ac:dyDescent="0.2">
      <c r="A210" s="10"/>
      <c r="B210" s="2"/>
      <c r="C210" s="6"/>
      <c r="D210" s="63"/>
      <c r="E210" s="63"/>
    </row>
    <row r="211" spans="1:5" x14ac:dyDescent="0.2">
      <c r="A211" s="10"/>
      <c r="B211" s="2"/>
      <c r="C211" s="6"/>
      <c r="D211" s="63"/>
      <c r="E211" s="63"/>
    </row>
    <row r="212" spans="1:5" x14ac:dyDescent="0.2">
      <c r="A212" s="10"/>
      <c r="B212" s="2"/>
      <c r="C212" s="6"/>
      <c r="D212" s="63"/>
      <c r="E212" s="63"/>
    </row>
    <row r="213" spans="1:5" x14ac:dyDescent="0.2">
      <c r="A213" s="10"/>
      <c r="B213" s="2"/>
      <c r="C213" s="6"/>
      <c r="D213" s="63"/>
      <c r="E213" s="63"/>
    </row>
    <row r="214" spans="1:5" x14ac:dyDescent="0.2">
      <c r="A214" s="10"/>
      <c r="B214" s="2"/>
      <c r="C214" s="6"/>
      <c r="D214" s="63"/>
      <c r="E214" s="63"/>
    </row>
    <row r="215" spans="1:5" x14ac:dyDescent="0.2">
      <c r="A215" s="10"/>
      <c r="B215" s="2"/>
      <c r="C215" s="6"/>
      <c r="D215" s="63"/>
      <c r="E215" s="63"/>
    </row>
    <row r="216" spans="1:5" x14ac:dyDescent="0.2">
      <c r="A216" s="10"/>
      <c r="B216" s="2"/>
      <c r="C216" s="6"/>
      <c r="D216" s="63"/>
      <c r="E216" s="63"/>
    </row>
    <row r="217" spans="1:5" x14ac:dyDescent="0.2">
      <c r="A217" s="10"/>
      <c r="B217" s="2"/>
      <c r="C217" s="6"/>
      <c r="D217" s="63"/>
      <c r="E217" s="63"/>
    </row>
    <row r="218" spans="1:5" x14ac:dyDescent="0.2">
      <c r="A218" s="10"/>
      <c r="B218" s="2"/>
      <c r="C218" s="6"/>
      <c r="D218" s="63"/>
      <c r="E218" s="63"/>
    </row>
    <row r="219" spans="1:5" x14ac:dyDescent="0.2">
      <c r="A219" s="10"/>
      <c r="B219" s="2"/>
      <c r="C219" s="6"/>
      <c r="D219" s="63"/>
      <c r="E219" s="63"/>
    </row>
    <row r="220" spans="1:5" x14ac:dyDescent="0.2">
      <c r="A220" s="10"/>
      <c r="B220" s="2"/>
      <c r="C220" s="6"/>
      <c r="D220" s="63"/>
      <c r="E220" s="63"/>
    </row>
    <row r="221" spans="1:5" x14ac:dyDescent="0.2">
      <c r="A221" s="10"/>
      <c r="B221" s="2"/>
      <c r="C221" s="6"/>
      <c r="D221" s="63"/>
      <c r="E221" s="63"/>
    </row>
    <row r="222" spans="1:5" x14ac:dyDescent="0.2">
      <c r="A222" s="10"/>
      <c r="B222" s="2"/>
      <c r="C222" s="6"/>
      <c r="D222" s="63"/>
      <c r="E222" s="63"/>
    </row>
    <row r="223" spans="1:5" x14ac:dyDescent="0.2">
      <c r="A223" s="10"/>
      <c r="B223" s="2"/>
      <c r="C223" s="6"/>
      <c r="D223" s="63"/>
      <c r="E223" s="63"/>
    </row>
    <row r="224" spans="1:5" x14ac:dyDescent="0.2">
      <c r="A224" s="10"/>
      <c r="B224" s="2"/>
      <c r="C224" s="6"/>
      <c r="D224" s="63"/>
      <c r="E224" s="63"/>
    </row>
    <row r="225" spans="1:5" x14ac:dyDescent="0.2">
      <c r="A225" s="10"/>
      <c r="B225" s="2"/>
      <c r="C225" s="6"/>
      <c r="D225" s="63"/>
      <c r="E225" s="63"/>
    </row>
    <row r="226" spans="1:5" x14ac:dyDescent="0.2">
      <c r="A226" s="10"/>
      <c r="B226" s="2"/>
      <c r="C226" s="6"/>
      <c r="D226" s="63"/>
      <c r="E226" s="63"/>
    </row>
    <row r="227" spans="1:5" x14ac:dyDescent="0.2">
      <c r="A227" s="10"/>
      <c r="B227" s="2"/>
      <c r="C227" s="6"/>
      <c r="D227" s="63"/>
      <c r="E227" s="63"/>
    </row>
    <row r="228" spans="1:5" x14ac:dyDescent="0.2">
      <c r="A228" s="10"/>
      <c r="B228" s="2"/>
      <c r="C228" s="6"/>
      <c r="D228" s="63"/>
      <c r="E228" s="63"/>
    </row>
    <row r="229" spans="1:5" x14ac:dyDescent="0.2">
      <c r="A229" s="10"/>
      <c r="B229" s="2"/>
      <c r="C229" s="6"/>
      <c r="D229" s="63"/>
      <c r="E229" s="63"/>
    </row>
    <row r="230" spans="1:5" x14ac:dyDescent="0.2">
      <c r="A230" s="10"/>
      <c r="B230" s="2"/>
      <c r="C230" s="6"/>
      <c r="D230" s="63"/>
      <c r="E230" s="63"/>
    </row>
    <row r="231" spans="1:5" x14ac:dyDescent="0.2">
      <c r="A231" s="10"/>
      <c r="B231" s="2"/>
      <c r="C231" s="6"/>
      <c r="D231" s="63"/>
      <c r="E231" s="63"/>
    </row>
    <row r="232" spans="1:5" x14ac:dyDescent="0.2">
      <c r="A232" s="10"/>
      <c r="B232" s="2"/>
      <c r="C232" s="6"/>
      <c r="D232" s="63"/>
      <c r="E232" s="63"/>
    </row>
    <row r="233" spans="1:5" x14ac:dyDescent="0.2">
      <c r="A233" s="10"/>
      <c r="B233" s="2"/>
      <c r="C233" s="6"/>
      <c r="D233" s="63"/>
      <c r="E233" s="63"/>
    </row>
    <row r="234" spans="1:5" x14ac:dyDescent="0.2">
      <c r="A234" s="10"/>
      <c r="B234" s="2"/>
      <c r="C234" s="6"/>
      <c r="D234" s="63"/>
      <c r="E234" s="63"/>
    </row>
    <row r="235" spans="1:5" x14ac:dyDescent="0.2">
      <c r="A235" s="10"/>
      <c r="B235" s="2"/>
      <c r="C235" s="6"/>
      <c r="D235" s="63"/>
      <c r="E235" s="63"/>
    </row>
    <row r="236" spans="1:5" x14ac:dyDescent="0.2">
      <c r="A236" s="10"/>
      <c r="B236" s="2"/>
      <c r="C236" s="6"/>
      <c r="D236" s="63"/>
      <c r="E236" s="63"/>
    </row>
    <row r="237" spans="1:5" x14ac:dyDescent="0.2">
      <c r="A237" s="10"/>
      <c r="B237" s="2"/>
      <c r="C237" s="6"/>
      <c r="D237" s="63"/>
      <c r="E237" s="63"/>
    </row>
    <row r="238" spans="1:5" x14ac:dyDescent="0.2">
      <c r="A238" s="10"/>
      <c r="B238" s="2"/>
      <c r="C238" s="6"/>
      <c r="D238" s="63"/>
      <c r="E238" s="63"/>
    </row>
    <row r="239" spans="1:5" x14ac:dyDescent="0.2">
      <c r="A239" s="10"/>
      <c r="B239" s="2"/>
      <c r="C239" s="6"/>
      <c r="D239" s="63"/>
      <c r="E239" s="63"/>
    </row>
    <row r="240" spans="1:5" x14ac:dyDescent="0.2">
      <c r="A240" s="10"/>
      <c r="B240" s="2"/>
      <c r="C240" s="6"/>
      <c r="D240" s="63"/>
      <c r="E240" s="63"/>
    </row>
    <row r="241" spans="1:5" x14ac:dyDescent="0.2">
      <c r="A241" s="10"/>
      <c r="B241" s="2"/>
      <c r="C241" s="6"/>
      <c r="D241" s="63"/>
      <c r="E241" s="63"/>
    </row>
    <row r="242" spans="1:5" x14ac:dyDescent="0.2">
      <c r="A242" s="10"/>
      <c r="B242" s="2"/>
      <c r="C242" s="6"/>
      <c r="D242" s="63"/>
      <c r="E242" s="63"/>
    </row>
    <row r="243" spans="1:5" x14ac:dyDescent="0.2">
      <c r="A243" s="10"/>
      <c r="B243" s="2"/>
      <c r="C243" s="6"/>
      <c r="D243" s="63"/>
      <c r="E243" s="63"/>
    </row>
    <row r="244" spans="1:5" x14ac:dyDescent="0.2">
      <c r="A244" s="10"/>
      <c r="B244" s="2"/>
      <c r="C244" s="6"/>
      <c r="D244" s="63"/>
      <c r="E244" s="63"/>
    </row>
    <row r="245" spans="1:5" x14ac:dyDescent="0.2">
      <c r="A245" s="10"/>
      <c r="B245" s="2"/>
      <c r="C245" s="6"/>
      <c r="D245" s="63"/>
      <c r="E245" s="63"/>
    </row>
    <row r="246" spans="1:5" x14ac:dyDescent="0.2">
      <c r="A246" s="10"/>
      <c r="B246" s="2"/>
      <c r="C246" s="6"/>
      <c r="D246" s="63"/>
      <c r="E246" s="63"/>
    </row>
    <row r="247" spans="1:5" x14ac:dyDescent="0.2">
      <c r="A247" s="10"/>
      <c r="B247" s="2"/>
      <c r="C247" s="6"/>
      <c r="D247" s="63"/>
      <c r="E247" s="63"/>
    </row>
    <row r="248" spans="1:5" x14ac:dyDescent="0.2">
      <c r="A248" s="10"/>
      <c r="B248" s="2"/>
      <c r="C248" s="6"/>
      <c r="D248" s="63"/>
      <c r="E248" s="63"/>
    </row>
    <row r="249" spans="1:5" x14ac:dyDescent="0.2">
      <c r="A249" s="10"/>
      <c r="B249" s="2"/>
      <c r="C249" s="6"/>
      <c r="D249" s="63"/>
      <c r="E249" s="63"/>
    </row>
    <row r="250" spans="1:5" x14ac:dyDescent="0.2">
      <c r="A250" s="10"/>
      <c r="B250" s="2"/>
      <c r="C250" s="6"/>
      <c r="D250" s="63"/>
      <c r="E250" s="63"/>
    </row>
    <row r="251" spans="1:5" x14ac:dyDescent="0.2">
      <c r="A251" s="10"/>
      <c r="B251" s="2"/>
      <c r="C251" s="6"/>
      <c r="D251" s="63"/>
      <c r="E251" s="63"/>
    </row>
    <row r="252" spans="1:5" x14ac:dyDescent="0.2">
      <c r="A252" s="10"/>
      <c r="B252" s="2"/>
      <c r="C252" s="6"/>
      <c r="D252" s="63"/>
      <c r="E252" s="63"/>
    </row>
    <row r="253" spans="1:5" x14ac:dyDescent="0.2">
      <c r="A253" s="10"/>
      <c r="B253" s="2"/>
      <c r="C253" s="6"/>
      <c r="D253" s="63"/>
      <c r="E253" s="63"/>
    </row>
    <row r="254" spans="1:5" x14ac:dyDescent="0.2">
      <c r="A254" s="10"/>
      <c r="B254" s="2"/>
      <c r="C254" s="6"/>
      <c r="D254" s="63"/>
      <c r="E254" s="63"/>
    </row>
    <row r="255" spans="1:5" x14ac:dyDescent="0.2">
      <c r="A255" s="10"/>
      <c r="B255" s="2"/>
      <c r="C255" s="6"/>
      <c r="D255" s="63"/>
      <c r="E255" s="63"/>
    </row>
    <row r="256" spans="1:5" x14ac:dyDescent="0.2">
      <c r="A256" s="10"/>
      <c r="B256" s="2"/>
      <c r="C256" s="6"/>
      <c r="D256" s="63"/>
      <c r="E256" s="63"/>
    </row>
    <row r="257" spans="1:5" x14ac:dyDescent="0.2">
      <c r="A257" s="10"/>
      <c r="B257" s="2"/>
      <c r="C257" s="6"/>
      <c r="D257" s="63"/>
      <c r="E257" s="63"/>
    </row>
    <row r="258" spans="1:5" x14ac:dyDescent="0.2">
      <c r="A258" s="10"/>
      <c r="B258" s="2"/>
      <c r="C258" s="6"/>
      <c r="D258" s="63"/>
      <c r="E258" s="63"/>
    </row>
    <row r="259" spans="1:5" x14ac:dyDescent="0.2">
      <c r="A259" s="10"/>
      <c r="B259" s="2"/>
      <c r="C259" s="6"/>
      <c r="D259" s="63"/>
      <c r="E259" s="63"/>
    </row>
    <row r="260" spans="1:5" x14ac:dyDescent="0.2">
      <c r="A260" s="10"/>
      <c r="B260" s="2"/>
      <c r="C260" s="6"/>
      <c r="D260" s="63"/>
      <c r="E260" s="63"/>
    </row>
    <row r="261" spans="1:5" x14ac:dyDescent="0.2">
      <c r="A261" s="10"/>
      <c r="B261" s="2"/>
      <c r="C261" s="6"/>
      <c r="D261" s="63"/>
      <c r="E261" s="63"/>
    </row>
    <row r="262" spans="1:5" x14ac:dyDescent="0.2">
      <c r="A262" s="10"/>
      <c r="B262" s="2"/>
      <c r="C262" s="6"/>
      <c r="D262" s="63"/>
      <c r="E262" s="63"/>
    </row>
    <row r="263" spans="1:5" x14ac:dyDescent="0.2">
      <c r="A263" s="10"/>
      <c r="B263" s="2"/>
      <c r="C263" s="6"/>
      <c r="D263" s="63"/>
      <c r="E263" s="63"/>
    </row>
    <row r="264" spans="1:5" x14ac:dyDescent="0.2">
      <c r="A264" s="10"/>
      <c r="B264" s="2"/>
      <c r="C264" s="6"/>
      <c r="D264" s="63"/>
      <c r="E264" s="63"/>
    </row>
    <row r="265" spans="1:5" x14ac:dyDescent="0.2">
      <c r="A265" s="10"/>
      <c r="B265" s="2"/>
      <c r="C265" s="6"/>
      <c r="D265" s="63"/>
      <c r="E265" s="63"/>
    </row>
    <row r="266" spans="1:5" x14ac:dyDescent="0.2">
      <c r="A266" s="10"/>
      <c r="B266" s="2"/>
      <c r="C266" s="6"/>
      <c r="D266" s="63"/>
      <c r="E266" s="63"/>
    </row>
    <row r="267" spans="1:5" x14ac:dyDescent="0.2">
      <c r="A267" s="10"/>
      <c r="B267" s="2"/>
      <c r="C267" s="6"/>
      <c r="D267" s="63"/>
      <c r="E267" s="63"/>
    </row>
    <row r="268" spans="1:5" x14ac:dyDescent="0.2">
      <c r="A268" s="10"/>
      <c r="B268" s="2"/>
      <c r="C268" s="6"/>
      <c r="D268" s="63"/>
      <c r="E268" s="63"/>
    </row>
    <row r="269" spans="1:5" x14ac:dyDescent="0.2">
      <c r="A269" s="10"/>
      <c r="B269" s="2"/>
      <c r="C269" s="6"/>
      <c r="D269" s="63"/>
      <c r="E269" s="63"/>
    </row>
    <row r="270" spans="1:5" x14ac:dyDescent="0.2">
      <c r="A270" s="10"/>
      <c r="B270" s="2"/>
      <c r="C270" s="6"/>
      <c r="D270" s="63"/>
      <c r="E270" s="63"/>
    </row>
    <row r="271" spans="1:5" x14ac:dyDescent="0.2">
      <c r="A271" s="10"/>
      <c r="B271" s="2"/>
      <c r="C271" s="6"/>
      <c r="D271" s="63"/>
      <c r="E271" s="63"/>
    </row>
    <row r="272" spans="1:5" x14ac:dyDescent="0.2">
      <c r="A272" s="10"/>
      <c r="B272" s="2"/>
      <c r="C272" s="6"/>
      <c r="D272" s="63"/>
      <c r="E272" s="63"/>
    </row>
    <row r="273" spans="1:5" x14ac:dyDescent="0.2">
      <c r="A273" s="10"/>
      <c r="B273" s="2"/>
      <c r="C273" s="6"/>
      <c r="D273" s="63"/>
      <c r="E273" s="63"/>
    </row>
    <row r="274" spans="1:5" x14ac:dyDescent="0.2">
      <c r="A274" s="10"/>
      <c r="B274" s="2"/>
      <c r="C274" s="6"/>
      <c r="D274" s="63"/>
      <c r="E274" s="63"/>
    </row>
    <row r="275" spans="1:5" x14ac:dyDescent="0.2">
      <c r="A275" s="10"/>
      <c r="B275" s="2"/>
      <c r="C275" s="6"/>
      <c r="D275" s="63"/>
      <c r="E275" s="63"/>
    </row>
    <row r="276" spans="1:5" x14ac:dyDescent="0.2">
      <c r="A276" s="10"/>
      <c r="B276" s="2"/>
      <c r="C276" s="6"/>
      <c r="D276" s="63"/>
      <c r="E276" s="63"/>
    </row>
    <row r="277" spans="1:5" x14ac:dyDescent="0.2">
      <c r="A277" s="10"/>
      <c r="B277" s="2"/>
      <c r="C277" s="6"/>
      <c r="D277" s="63"/>
      <c r="E277" s="63"/>
    </row>
    <row r="278" spans="1:5" x14ac:dyDescent="0.2">
      <c r="A278" s="10"/>
      <c r="B278" s="2"/>
      <c r="C278" s="6"/>
      <c r="D278" s="63"/>
      <c r="E278" s="63"/>
    </row>
    <row r="279" spans="1:5" x14ac:dyDescent="0.2">
      <c r="A279" s="10"/>
      <c r="B279" s="2"/>
      <c r="C279" s="6"/>
      <c r="D279" s="63"/>
      <c r="E279" s="63"/>
    </row>
    <row r="280" spans="1:5" x14ac:dyDescent="0.2">
      <c r="A280" s="10"/>
      <c r="B280" s="2"/>
      <c r="C280" s="6"/>
      <c r="D280" s="63"/>
      <c r="E280" s="63"/>
    </row>
    <row r="281" spans="1:5" x14ac:dyDescent="0.2">
      <c r="A281" s="10"/>
      <c r="B281" s="2"/>
      <c r="C281" s="6"/>
      <c r="D281" s="63"/>
      <c r="E281" s="63"/>
    </row>
    <row r="282" spans="1:5" x14ac:dyDescent="0.2">
      <c r="A282" s="10"/>
      <c r="B282" s="2"/>
      <c r="C282" s="6"/>
      <c r="D282" s="63"/>
      <c r="E282" s="63"/>
    </row>
    <row r="283" spans="1:5" x14ac:dyDescent="0.2">
      <c r="A283" s="10"/>
      <c r="B283" s="2"/>
      <c r="C283" s="6"/>
      <c r="D283" s="63"/>
      <c r="E283" s="63"/>
    </row>
    <row r="284" spans="1:5" x14ac:dyDescent="0.2">
      <c r="A284" s="10"/>
      <c r="B284" s="2"/>
      <c r="C284" s="6"/>
      <c r="D284" s="63"/>
      <c r="E284" s="63"/>
    </row>
    <row r="285" spans="1:5" x14ac:dyDescent="0.2">
      <c r="A285" s="10"/>
      <c r="B285" s="2"/>
      <c r="C285" s="6"/>
      <c r="D285" s="63"/>
      <c r="E285" s="63"/>
    </row>
    <row r="286" spans="1:5" x14ac:dyDescent="0.2">
      <c r="A286" s="10"/>
      <c r="B286" s="2"/>
      <c r="C286" s="6"/>
      <c r="D286" s="63"/>
      <c r="E286" s="63"/>
    </row>
    <row r="287" spans="1:5" x14ac:dyDescent="0.2">
      <c r="A287" s="10"/>
      <c r="B287" s="2"/>
      <c r="C287" s="6"/>
      <c r="D287" s="63"/>
      <c r="E287" s="63"/>
    </row>
    <row r="288" spans="1:5" x14ac:dyDescent="0.2">
      <c r="A288" s="10"/>
      <c r="B288" s="2"/>
      <c r="C288" s="6"/>
      <c r="D288" s="63"/>
      <c r="E288" s="63"/>
    </row>
    <row r="289" spans="1:5" x14ac:dyDescent="0.2">
      <c r="A289" s="10"/>
      <c r="B289" s="2"/>
      <c r="C289" s="6"/>
      <c r="D289" s="63"/>
      <c r="E289" s="63"/>
    </row>
    <row r="290" spans="1:5" x14ac:dyDescent="0.2">
      <c r="A290" s="10"/>
      <c r="B290" s="2"/>
      <c r="C290" s="6"/>
      <c r="D290" s="63"/>
      <c r="E290" s="63"/>
    </row>
    <row r="291" spans="1:5" x14ac:dyDescent="0.2">
      <c r="A291" s="10"/>
      <c r="B291" s="2"/>
      <c r="C291" s="6"/>
      <c r="D291" s="63"/>
      <c r="E291" s="63"/>
    </row>
    <row r="292" spans="1:5" x14ac:dyDescent="0.2">
      <c r="A292" s="10"/>
      <c r="B292" s="2"/>
      <c r="C292" s="6"/>
      <c r="D292" s="63"/>
      <c r="E292" s="63"/>
    </row>
    <row r="293" spans="1:5" x14ac:dyDescent="0.2">
      <c r="A293" s="10"/>
      <c r="B293" s="2"/>
      <c r="C293" s="6"/>
      <c r="D293" s="63"/>
      <c r="E293" s="63"/>
    </row>
    <row r="294" spans="1:5" x14ac:dyDescent="0.2">
      <c r="A294" s="10"/>
      <c r="B294" s="2"/>
      <c r="C294" s="6"/>
      <c r="D294" s="63"/>
      <c r="E294" s="63"/>
    </row>
    <row r="295" spans="1:5" x14ac:dyDescent="0.2">
      <c r="A295" s="10"/>
      <c r="B295" s="2"/>
      <c r="C295" s="6"/>
      <c r="D295" s="63"/>
      <c r="E295" s="63"/>
    </row>
    <row r="296" spans="1:5" x14ac:dyDescent="0.2">
      <c r="A296" s="10"/>
      <c r="B296" s="2"/>
      <c r="C296" s="6"/>
      <c r="D296" s="63"/>
      <c r="E296" s="63"/>
    </row>
    <row r="297" spans="1:5" x14ac:dyDescent="0.2">
      <c r="A297" s="10"/>
      <c r="B297" s="2"/>
      <c r="C297" s="6"/>
      <c r="D297" s="63"/>
      <c r="E297" s="63"/>
    </row>
    <row r="298" spans="1:5" x14ac:dyDescent="0.2">
      <c r="A298" s="10"/>
      <c r="B298" s="2"/>
      <c r="C298" s="6"/>
      <c r="D298" s="63"/>
      <c r="E298" s="63"/>
    </row>
    <row r="299" spans="1:5" x14ac:dyDescent="0.2">
      <c r="A299" s="10"/>
      <c r="B299" s="2"/>
      <c r="C299" s="6"/>
      <c r="D299" s="63"/>
      <c r="E299" s="63"/>
    </row>
    <row r="300" spans="1:5" x14ac:dyDescent="0.2">
      <c r="A300" s="10"/>
      <c r="B300" s="2"/>
      <c r="C300" s="6"/>
      <c r="D300" s="63"/>
      <c r="E300" s="63"/>
    </row>
    <row r="301" spans="1:5" x14ac:dyDescent="0.2">
      <c r="A301" s="10"/>
      <c r="B301" s="2"/>
      <c r="C301" s="6"/>
      <c r="D301" s="63"/>
      <c r="E301" s="63"/>
    </row>
    <row r="302" spans="1:5" x14ac:dyDescent="0.2">
      <c r="A302" s="10"/>
      <c r="B302" s="2"/>
      <c r="C302" s="6"/>
      <c r="D302" s="63"/>
      <c r="E302" s="63"/>
    </row>
    <row r="303" spans="1:5" x14ac:dyDescent="0.2">
      <c r="A303" s="10"/>
      <c r="B303" s="2"/>
      <c r="C303" s="6"/>
      <c r="D303" s="63"/>
      <c r="E303" s="63"/>
    </row>
    <row r="304" spans="1:5" x14ac:dyDescent="0.2">
      <c r="A304" s="10"/>
      <c r="B304" s="2"/>
      <c r="C304" s="6"/>
      <c r="D304" s="63"/>
      <c r="E304" s="63"/>
    </row>
    <row r="305" spans="1:5" x14ac:dyDescent="0.2">
      <c r="A305" s="10"/>
      <c r="B305" s="2"/>
      <c r="C305" s="6"/>
      <c r="D305" s="63"/>
      <c r="E305" s="63"/>
    </row>
    <row r="306" spans="1:5" x14ac:dyDescent="0.2">
      <c r="A306" s="10"/>
      <c r="B306" s="2"/>
      <c r="C306" s="6"/>
      <c r="D306" s="63"/>
      <c r="E306" s="63"/>
    </row>
    <row r="307" spans="1:5" x14ac:dyDescent="0.2">
      <c r="A307" s="10"/>
      <c r="B307" s="2"/>
      <c r="C307" s="6"/>
      <c r="D307" s="63"/>
      <c r="E307" s="63"/>
    </row>
    <row r="308" spans="1:5" x14ac:dyDescent="0.2">
      <c r="A308" s="10"/>
      <c r="B308" s="2"/>
      <c r="C308" s="6"/>
      <c r="D308" s="63"/>
      <c r="E308" s="63"/>
    </row>
    <row r="309" spans="1:5" x14ac:dyDescent="0.2">
      <c r="A309" s="10"/>
      <c r="B309" s="2"/>
      <c r="C309" s="6"/>
      <c r="D309" s="63"/>
      <c r="E309" s="63"/>
    </row>
    <row r="310" spans="1:5" x14ac:dyDescent="0.2">
      <c r="A310" s="10"/>
      <c r="B310" s="2"/>
      <c r="C310" s="6"/>
      <c r="D310" s="63"/>
      <c r="E310" s="63"/>
    </row>
    <row r="311" spans="1:5" x14ac:dyDescent="0.2">
      <c r="A311" s="10"/>
      <c r="B311" s="2"/>
      <c r="C311" s="6"/>
      <c r="D311" s="63"/>
      <c r="E311" s="63"/>
    </row>
    <row r="312" spans="1:5" x14ac:dyDescent="0.2">
      <c r="A312" s="10"/>
      <c r="B312" s="2"/>
      <c r="C312" s="6"/>
      <c r="D312" s="63"/>
      <c r="E312" s="63"/>
    </row>
    <row r="313" spans="1:5" x14ac:dyDescent="0.2">
      <c r="A313" s="10"/>
      <c r="B313" s="2"/>
      <c r="C313" s="6"/>
      <c r="D313" s="63"/>
      <c r="E313" s="63"/>
    </row>
    <row r="314" spans="1:5" x14ac:dyDescent="0.2">
      <c r="A314" s="10"/>
      <c r="B314" s="2"/>
      <c r="C314" s="6"/>
      <c r="D314" s="63"/>
      <c r="E314" s="63"/>
    </row>
    <row r="315" spans="1:5" x14ac:dyDescent="0.2">
      <c r="A315" s="10"/>
      <c r="B315" s="2"/>
      <c r="C315" s="6"/>
      <c r="D315" s="63"/>
      <c r="E315" s="63"/>
    </row>
    <row r="316" spans="1:5" x14ac:dyDescent="0.2">
      <c r="A316" s="10"/>
      <c r="B316" s="2"/>
      <c r="C316" s="6"/>
      <c r="D316" s="63"/>
      <c r="E316" s="63"/>
    </row>
    <row r="317" spans="1:5" x14ac:dyDescent="0.2">
      <c r="A317" s="10"/>
      <c r="B317" s="2"/>
      <c r="C317" s="6"/>
      <c r="D317" s="63"/>
      <c r="E317" s="63"/>
    </row>
    <row r="318" spans="1:5" x14ac:dyDescent="0.2">
      <c r="A318" s="10"/>
      <c r="B318" s="2"/>
      <c r="C318" s="6"/>
      <c r="D318" s="63"/>
      <c r="E318" s="63"/>
    </row>
    <row r="319" spans="1:5" x14ac:dyDescent="0.2">
      <c r="A319" s="10"/>
      <c r="B319" s="2"/>
      <c r="C319" s="6"/>
      <c r="D319" s="63"/>
      <c r="E319" s="63"/>
    </row>
    <row r="320" spans="1:5" x14ac:dyDescent="0.2">
      <c r="A320" s="10"/>
      <c r="B320" s="2"/>
      <c r="C320" s="6"/>
      <c r="D320" s="63"/>
      <c r="E320" s="63"/>
    </row>
    <row r="321" spans="1:5" x14ac:dyDescent="0.2">
      <c r="A321" s="10"/>
      <c r="B321" s="2"/>
      <c r="C321" s="6"/>
      <c r="D321" s="63"/>
      <c r="E321" s="63"/>
    </row>
    <row r="322" spans="1:5" x14ac:dyDescent="0.2">
      <c r="A322" s="10"/>
      <c r="B322" s="2"/>
      <c r="C322" s="6"/>
      <c r="D322" s="63"/>
      <c r="E322" s="63"/>
    </row>
    <row r="323" spans="1:5" x14ac:dyDescent="0.2">
      <c r="A323" s="10"/>
      <c r="B323" s="2"/>
      <c r="C323" s="6"/>
      <c r="D323" s="63"/>
      <c r="E323" s="63"/>
    </row>
    <row r="324" spans="1:5" x14ac:dyDescent="0.2">
      <c r="A324" s="10"/>
      <c r="B324" s="2"/>
      <c r="C324" s="6"/>
      <c r="D324" s="63"/>
      <c r="E324" s="63"/>
    </row>
    <row r="325" spans="1:5" x14ac:dyDescent="0.2">
      <c r="A325" s="10"/>
      <c r="B325" s="2"/>
      <c r="C325" s="6"/>
      <c r="D325" s="63"/>
      <c r="E325" s="63"/>
    </row>
    <row r="326" spans="1:5" x14ac:dyDescent="0.2">
      <c r="A326" s="10"/>
      <c r="B326" s="2"/>
      <c r="C326" s="6"/>
      <c r="D326" s="63"/>
      <c r="E326" s="63"/>
    </row>
    <row r="327" spans="1:5" x14ac:dyDescent="0.2">
      <c r="A327" s="10"/>
      <c r="B327" s="2"/>
      <c r="C327" s="6"/>
      <c r="D327" s="63"/>
      <c r="E327" s="63"/>
    </row>
    <row r="328" spans="1:5" x14ac:dyDescent="0.2">
      <c r="A328" s="10"/>
      <c r="B328" s="2"/>
      <c r="C328" s="6"/>
      <c r="D328" s="63"/>
      <c r="E328" s="63"/>
    </row>
    <row r="329" spans="1:5" x14ac:dyDescent="0.2">
      <c r="A329" s="10"/>
      <c r="B329" s="2"/>
      <c r="C329" s="6"/>
      <c r="D329" s="63"/>
      <c r="E329" s="63"/>
    </row>
    <row r="330" spans="1:5" x14ac:dyDescent="0.2">
      <c r="A330" s="10"/>
      <c r="B330" s="2"/>
      <c r="C330" s="6"/>
      <c r="D330" s="63"/>
      <c r="E330" s="63"/>
    </row>
    <row r="331" spans="1:5" x14ac:dyDescent="0.2">
      <c r="A331" s="10"/>
      <c r="B331" s="2"/>
    </row>
  </sheetData>
  <sheetProtection algorithmName="SHA-512" hashValue="aeAljf/8OGQDLbJBHfYAH63rrrOoYF6y0Y9DSXdzsfWlNxJ2OB/9c6Z5keJ4HPNidvYNuYt8S8LbM3I9Q13jQw==" saltValue="pGfBBPIBzJ1u47IAzlFXPw==" spinCount="100000" sheet="1" formatCells="0" formatColumns="0" formatRows="0"/>
  <customSheetViews>
    <customSheetView guid="{B8E02330-2419-4DE6-AD01-7ACC7A5D18DD}" scale="75" topLeftCell="A117">
      <selection activeCell="A2" sqref="A2:H135"/>
      <pageMargins left="0.75" right="0.75" top="1" bottom="1" header="0.5" footer="0.5"/>
      <pageSetup orientation="portrait" r:id="rId1"/>
      <headerFooter alignWithMargins="0"/>
    </customSheetView>
  </customSheetViews>
  <mergeCells count="152">
    <mergeCell ref="H193:I193"/>
    <mergeCell ref="H194:I194"/>
    <mergeCell ref="H187:I187"/>
    <mergeCell ref="H188:I188"/>
    <mergeCell ref="H189:I189"/>
    <mergeCell ref="H190:I190"/>
    <mergeCell ref="H191:I191"/>
    <mergeCell ref="H182:I182"/>
    <mergeCell ref="H183:I183"/>
    <mergeCell ref="H184:I184"/>
    <mergeCell ref="H185:I185"/>
    <mergeCell ref="H186:I186"/>
    <mergeCell ref="H179:I179"/>
    <mergeCell ref="H180:I180"/>
    <mergeCell ref="H181:I181"/>
    <mergeCell ref="H172:I172"/>
    <mergeCell ref="H173:I173"/>
    <mergeCell ref="H174:I174"/>
    <mergeCell ref="H175:I175"/>
    <mergeCell ref="H176:I176"/>
    <mergeCell ref="H192:I192"/>
    <mergeCell ref="H170:I170"/>
    <mergeCell ref="H171:I171"/>
    <mergeCell ref="H162:I162"/>
    <mergeCell ref="H163:I163"/>
    <mergeCell ref="H164:I164"/>
    <mergeCell ref="H165:I165"/>
    <mergeCell ref="H166:I166"/>
    <mergeCell ref="H177:I177"/>
    <mergeCell ref="H178:I178"/>
    <mergeCell ref="H161:I161"/>
    <mergeCell ref="H151:I151"/>
    <mergeCell ref="H152:I152"/>
    <mergeCell ref="H154:I154"/>
    <mergeCell ref="H155:I155"/>
    <mergeCell ref="H156:I156"/>
    <mergeCell ref="H167:I167"/>
    <mergeCell ref="H168:I168"/>
    <mergeCell ref="H169:I169"/>
    <mergeCell ref="I109:I114"/>
    <mergeCell ref="I115:I117"/>
    <mergeCell ref="I122:I127"/>
    <mergeCell ref="I128:I134"/>
    <mergeCell ref="I135:I141"/>
    <mergeCell ref="H157:I157"/>
    <mergeCell ref="H158:I158"/>
    <mergeCell ref="H159:I159"/>
    <mergeCell ref="H160:I160"/>
    <mergeCell ref="I85:I90"/>
    <mergeCell ref="I91:I96"/>
    <mergeCell ref="I97:I100"/>
    <mergeCell ref="I101:I104"/>
    <mergeCell ref="I105:I108"/>
    <mergeCell ref="I58:I63"/>
    <mergeCell ref="I64:I69"/>
    <mergeCell ref="I70:I76"/>
    <mergeCell ref="I77:I80"/>
    <mergeCell ref="I81:I84"/>
    <mergeCell ref="I26:I32"/>
    <mergeCell ref="I33:I38"/>
    <mergeCell ref="I39:I45"/>
    <mergeCell ref="I46:I51"/>
    <mergeCell ref="I52:I57"/>
    <mergeCell ref="E1:I1"/>
    <mergeCell ref="I3:I9"/>
    <mergeCell ref="I11:I15"/>
    <mergeCell ref="I16:I19"/>
    <mergeCell ref="I20:I24"/>
    <mergeCell ref="H101:H104"/>
    <mergeCell ref="H135:H141"/>
    <mergeCell ref="A135:A141"/>
    <mergeCell ref="B135:B141"/>
    <mergeCell ref="H128:H134"/>
    <mergeCell ref="A128:A134"/>
    <mergeCell ref="B128:B134"/>
    <mergeCell ref="H122:H127"/>
    <mergeCell ref="A122:A127"/>
    <mergeCell ref="B122:B127"/>
    <mergeCell ref="A101:A104"/>
    <mergeCell ref="A115:A117"/>
    <mergeCell ref="A105:A108"/>
    <mergeCell ref="B105:B108"/>
    <mergeCell ref="B101:B104"/>
    <mergeCell ref="H109:H114"/>
    <mergeCell ref="H105:H108"/>
    <mergeCell ref="B109:B114"/>
    <mergeCell ref="A109:A114"/>
    <mergeCell ref="H115:H117"/>
    <mergeCell ref="B115:B117"/>
    <mergeCell ref="C152:E152"/>
    <mergeCell ref="D145:F145"/>
    <mergeCell ref="D146:F146"/>
    <mergeCell ref="D147:F147"/>
    <mergeCell ref="D148:F148"/>
    <mergeCell ref="D149:F149"/>
    <mergeCell ref="C151:E151"/>
    <mergeCell ref="A144:C150"/>
    <mergeCell ref="D144:H144"/>
    <mergeCell ref="D150:H150"/>
    <mergeCell ref="A151:B152"/>
    <mergeCell ref="A70:A76"/>
    <mergeCell ref="B70:B76"/>
    <mergeCell ref="H64:H69"/>
    <mergeCell ref="H81:H84"/>
    <mergeCell ref="H70:H76"/>
    <mergeCell ref="H85:H90"/>
    <mergeCell ref="H97:H100"/>
    <mergeCell ref="B97:B100"/>
    <mergeCell ref="A97:A100"/>
    <mergeCell ref="B64:B69"/>
    <mergeCell ref="B81:B84"/>
    <mergeCell ref="H91:H96"/>
    <mergeCell ref="A81:A84"/>
    <mergeCell ref="A77:A80"/>
    <mergeCell ref="B85:B90"/>
    <mergeCell ref="B77:B80"/>
    <mergeCell ref="B91:B96"/>
    <mergeCell ref="H77:H80"/>
    <mergeCell ref="A85:A90"/>
    <mergeCell ref="A91:A96"/>
    <mergeCell ref="A64:A69"/>
    <mergeCell ref="H58:H63"/>
    <mergeCell ref="H16:H19"/>
    <mergeCell ref="H11:H15"/>
    <mergeCell ref="H20:H24"/>
    <mergeCell ref="B11:B15"/>
    <mergeCell ref="A52:A57"/>
    <mergeCell ref="B52:B57"/>
    <mergeCell ref="B16:B19"/>
    <mergeCell ref="A58:A63"/>
    <mergeCell ref="A20:A24"/>
    <mergeCell ref="A39:A45"/>
    <mergeCell ref="B58:B63"/>
    <mergeCell ref="B26:B32"/>
    <mergeCell ref="A26:A32"/>
    <mergeCell ref="A1:B1"/>
    <mergeCell ref="B3:B9"/>
    <mergeCell ref="H3:H9"/>
    <mergeCell ref="B20:B24"/>
    <mergeCell ref="H52:H57"/>
    <mergeCell ref="A3:A9"/>
    <mergeCell ref="A46:A51"/>
    <mergeCell ref="B39:B45"/>
    <mergeCell ref="H39:H45"/>
    <mergeCell ref="B46:B51"/>
    <mergeCell ref="A16:A19"/>
    <mergeCell ref="H26:H32"/>
    <mergeCell ref="H46:H51"/>
    <mergeCell ref="A33:A38"/>
    <mergeCell ref="B33:B38"/>
    <mergeCell ref="H33:H38"/>
    <mergeCell ref="A11:A15"/>
  </mergeCells>
  <phoneticPr fontId="3" type="noConversion"/>
  <pageMargins left="0.75" right="0.75" top="1" bottom="1" header="0.5" footer="0.5"/>
  <pageSetup orientation="portrait" r:id="rId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K151"/>
  <sheetViews>
    <sheetView zoomScaleNormal="100" workbookViewId="0">
      <selection sqref="A1:B1"/>
    </sheetView>
  </sheetViews>
  <sheetFormatPr defaultColWidth="9.33203125" defaultRowHeight="16.5" x14ac:dyDescent="0.2"/>
  <cols>
    <col min="1" max="1" width="5.83203125" style="5" customWidth="1"/>
    <col min="2" max="2" width="18.83203125" style="24" customWidth="1"/>
    <col min="3" max="3" width="75.83203125" style="2" customWidth="1"/>
    <col min="4" max="6" width="7.83203125" style="185" customWidth="1"/>
    <col min="7" max="7" width="9.33203125" style="73" customWidth="1"/>
    <col min="8" max="8" width="64.83203125" style="2" customWidth="1"/>
    <col min="9" max="9" width="11.33203125" style="5" customWidth="1"/>
    <col min="10" max="10" width="9.33203125" style="5"/>
    <col min="11" max="11" width="9.33203125" style="58"/>
    <col min="12" max="16384" width="9.33203125" style="5"/>
  </cols>
  <sheetData>
    <row r="1" spans="1:11" s="1409" customFormat="1" ht="66" customHeight="1" thickBot="1" x14ac:dyDescent="0.25">
      <c r="A1" s="1927" t="s">
        <v>2436</v>
      </c>
      <c r="B1" s="2000"/>
      <c r="C1" s="1393" t="s">
        <v>2917</v>
      </c>
      <c r="D1" s="1420" t="s">
        <v>1068</v>
      </c>
      <c r="E1" s="2001"/>
      <c r="F1" s="2002"/>
      <c r="G1" s="2002"/>
      <c r="H1" s="2002"/>
      <c r="I1" s="2002"/>
      <c r="K1" s="246"/>
    </row>
    <row r="2" spans="1:11" s="56" customFormat="1" ht="36" customHeight="1" thickBot="1" x14ac:dyDescent="0.25">
      <c r="A2" s="861" t="s">
        <v>88</v>
      </c>
      <c r="B2" s="833" t="s">
        <v>1424</v>
      </c>
      <c r="C2" s="862" t="s">
        <v>1164</v>
      </c>
      <c r="D2" s="870" t="s">
        <v>45</v>
      </c>
      <c r="E2" s="845" t="s">
        <v>1188</v>
      </c>
      <c r="F2" s="936" t="s">
        <v>2583</v>
      </c>
      <c r="G2" s="847" t="s">
        <v>2558</v>
      </c>
      <c r="H2" s="848" t="s">
        <v>1117</v>
      </c>
      <c r="I2" s="1430" t="s">
        <v>2427</v>
      </c>
    </row>
    <row r="3" spans="1:11" ht="45" customHeight="1" thickBot="1" x14ac:dyDescent="0.25">
      <c r="A3" s="1714" t="str">
        <f>OF!A99</f>
        <v>OF20</v>
      </c>
      <c r="B3" s="1670" t="str">
        <f>OF!B99</f>
        <v xml:space="preserve">Degraded Water Upstream </v>
      </c>
      <c r="C3" s="184" t="str">
        <f>OF!C99</f>
        <v xml:space="preserve">Sampling indicates a problem with concentrations of metals, hydrocarbons, nutrients, or other substances (excluding bacteria, acidic water, high temperatures) being present at levels harmful to aquatic life or humans, and:  </v>
      </c>
      <c r="D3" s="186"/>
      <c r="E3" s="186"/>
      <c r="F3" s="189"/>
      <c r="G3" s="328">
        <f>IF((D7=1),"", IF((D6=1),1, IF((D5=1),0.2, 0)))</f>
        <v>0</v>
      </c>
      <c r="H3" s="1670" t="s">
        <v>607</v>
      </c>
      <c r="I3" s="1865" t="s">
        <v>415</v>
      </c>
    </row>
    <row r="4" spans="1:11" ht="15" customHeight="1" x14ac:dyDescent="0.2">
      <c r="A4" s="1714"/>
      <c r="B4" s="1670"/>
      <c r="C4" s="1324" t="str">
        <f>OF!C100</f>
        <v>The condition is present within the AA.</v>
      </c>
      <c r="D4" s="129">
        <f>OF!D100</f>
        <v>0</v>
      </c>
      <c r="E4" s="186"/>
      <c r="F4" s="187"/>
      <c r="G4" s="383"/>
      <c r="H4" s="1670"/>
      <c r="I4" s="1866"/>
    </row>
    <row r="5" spans="1:11" ht="27" customHeight="1" x14ac:dyDescent="0.2">
      <c r="A5" s="1714"/>
      <c r="B5" s="1670"/>
      <c r="C5" s="1058" t="str">
        <f>OF!C101</f>
        <v>The condition is present in waters within 1 km that flow into the AA, but has not been documented in the AA itself.</v>
      </c>
      <c r="D5" s="33">
        <f>OF!D101</f>
        <v>0</v>
      </c>
      <c r="E5" s="186"/>
      <c r="F5" s="187"/>
      <c r="G5" s="384"/>
      <c r="H5" s="1670"/>
      <c r="I5" s="1866"/>
    </row>
    <row r="6" spans="1:11" ht="27" customHeight="1" x14ac:dyDescent="0.2">
      <c r="A6" s="1714"/>
      <c r="B6" s="1670"/>
      <c r="C6" s="1058" t="str">
        <f>OF!C102</f>
        <v>Sampling during both low water periods and times with high runoff (storms, snowmelt) indicates no problems in either the AA or inflowing waters.</v>
      </c>
      <c r="D6" s="33">
        <f>OF!D102</f>
        <v>0</v>
      </c>
      <c r="E6" s="186"/>
      <c r="F6" s="187"/>
      <c r="G6" s="384"/>
      <c r="H6" s="1670"/>
      <c r="I6" s="1866"/>
    </row>
    <row r="7" spans="1:11" ht="27" customHeight="1" thickBot="1" x14ac:dyDescent="0.25">
      <c r="A7" s="1715"/>
      <c r="B7" s="1671"/>
      <c r="C7" s="1061" t="str">
        <f>OF!C103</f>
        <v>Data are insufficient (no or inadequate sampling within 1 km, or condition exists only at &gt;1 km upstream). This is the situation for nearly all wetlands in this region.</v>
      </c>
      <c r="D7" s="84">
        <f>OF!D103</f>
        <v>0</v>
      </c>
      <c r="E7" s="201"/>
      <c r="F7" s="188"/>
      <c r="G7" s="385"/>
      <c r="H7" s="1671"/>
      <c r="I7" s="1867"/>
    </row>
    <row r="8" spans="1:11" s="2" customFormat="1" ht="56.25" customHeight="1" thickBot="1" x14ac:dyDescent="0.25">
      <c r="A8" s="1127" t="str">
        <f>OF!A133</f>
        <v>OF27</v>
      </c>
      <c r="B8" s="1125" t="str">
        <f>OF!B133</f>
        <v>Growing Degree Days</v>
      </c>
      <c r="C8" s="1124" t="str">
        <f>OF!C133</f>
        <v>In Google Earth, open the KMZ file that accompanies this calculator, called NB-PEI_GrowingDegreeDays. Place your cursor over the AA and left-click. From the pop-up, enter the GRIDCODE in the next column.</v>
      </c>
      <c r="D8" s="1413">
        <f>OF!D133</f>
        <v>0</v>
      </c>
      <c r="E8" s="1129"/>
      <c r="F8" s="194"/>
      <c r="G8" s="268" t="str">
        <f>IF((GrowD&lt;1),"",(GrowD-1305)/1328)</f>
        <v/>
      </c>
      <c r="H8" s="434" t="s">
        <v>964</v>
      </c>
      <c r="I8" s="1126" t="s">
        <v>965</v>
      </c>
      <c r="K8" s="56"/>
    </row>
    <row r="9" spans="1:11" s="2" customFormat="1" ht="30.75" customHeight="1" thickBot="1" x14ac:dyDescent="0.25">
      <c r="A9" s="1713" t="str">
        <f>OF!A134</f>
        <v>OF28</v>
      </c>
      <c r="B9" s="1669" t="str">
        <f>OF!B134</f>
        <v>Fish Access or Use</v>
      </c>
      <c r="C9" s="240" t="str">
        <f>OF!C134</f>
        <v>According to agency biologists and/or your own observations, the AA. [Mark just the first choice that is true.]:</v>
      </c>
      <c r="D9" s="191"/>
      <c r="E9" s="191"/>
      <c r="F9" s="192"/>
      <c r="G9" s="327">
        <f>MAX(F10:F13)/MAX(E10:E13)</f>
        <v>0</v>
      </c>
      <c r="H9" s="1669" t="s">
        <v>1454</v>
      </c>
      <c r="I9" s="1865" t="s">
        <v>146</v>
      </c>
      <c r="K9" s="56"/>
    </row>
    <row r="10" spans="1:11" s="2" customFormat="1" ht="42" customHeight="1" x14ac:dyDescent="0.2">
      <c r="A10" s="1714"/>
      <c r="B10" s="1670"/>
      <c r="C10" s="1325" t="str">
        <f>OF!C135</f>
        <v>Is known to support rearing and/or spawning by Atlantic salmon or other anadromous species or eels.  In NB, consult Figure A-2 in Appendix A of the Manual.  Contact local fishery biologists, review the ACCDC report, and visit these websites: http://www.salmonatlas.com/atlanticsalmon/canada-east/index.1.html    http://atlanticsalmonfederation.org/rivers/introduction.html</v>
      </c>
      <c r="D10" s="183">
        <f>OF!D135</f>
        <v>0</v>
      </c>
      <c r="E10" s="187">
        <v>1</v>
      </c>
      <c r="F10" s="187">
        <f>D10*E10</f>
        <v>0</v>
      </c>
      <c r="G10" s="383"/>
      <c r="H10" s="1670"/>
      <c r="I10" s="1866"/>
      <c r="K10" s="56"/>
    </row>
    <row r="11" spans="1:11" s="2" customFormat="1" ht="42" customHeight="1" x14ac:dyDescent="0.2">
      <c r="A11" s="1714"/>
      <c r="B11" s="1670"/>
      <c r="C11" s="1334" t="str">
        <f>OF!C136</f>
        <v>Has not been documented to support Atlantic salmon rearing and/or spawning, but is connected to nearby waters likely to contain Atlantic salmon or other anadromous species or eels and is probably accessed by those during some conditions.</v>
      </c>
      <c r="D11" s="128">
        <f>OF!D136</f>
        <v>0</v>
      </c>
      <c r="E11" s="187">
        <v>1</v>
      </c>
      <c r="F11" s="187">
        <f>D11*E11</f>
        <v>0</v>
      </c>
      <c r="G11" s="384"/>
      <c r="H11" s="1670"/>
      <c r="I11" s="1866"/>
      <c r="K11" s="56"/>
    </row>
    <row r="12" spans="1:11" s="2" customFormat="1" ht="27" customHeight="1" x14ac:dyDescent="0.2">
      <c r="A12" s="1714"/>
      <c r="B12" s="1670"/>
      <c r="C12" s="1334" t="str">
        <f>OF!C137</f>
        <v>Is probably is not accessed by any anadromous fish species but is known or likely to have other fish at least seasonally.</v>
      </c>
      <c r="D12" s="128">
        <f>OF!D137</f>
        <v>0</v>
      </c>
      <c r="E12" s="187">
        <v>1</v>
      </c>
      <c r="F12" s="187">
        <f>D12*E12</f>
        <v>0</v>
      </c>
      <c r="G12" s="384"/>
      <c r="H12" s="1670"/>
      <c r="I12" s="1866"/>
      <c r="K12" s="56"/>
    </row>
    <row r="13" spans="1:11" s="2" customFormat="1" ht="27" customHeight="1" thickBot="1" x14ac:dyDescent="0.25">
      <c r="A13" s="1714"/>
      <c r="B13" s="1670"/>
      <c r="C13" s="1334" t="str">
        <f>OF!C138</f>
        <v xml:space="preserve">Is known or likely to be fishless (e.g., too small, dry, and/or not accessible even temporarily, and not stocked). </v>
      </c>
      <c r="D13" s="128">
        <f>OF!D138</f>
        <v>0</v>
      </c>
      <c r="E13" s="190">
        <v>0</v>
      </c>
      <c r="F13" s="190">
        <f>D13*E13</f>
        <v>0</v>
      </c>
      <c r="G13" s="391"/>
      <c r="H13" s="1670"/>
      <c r="I13" s="1867"/>
      <c r="K13" s="56"/>
    </row>
    <row r="14" spans="1:11" s="2" customFormat="1" ht="67.5" customHeight="1" thickBot="1" x14ac:dyDescent="0.25">
      <c r="A14" s="88" t="str">
        <f>OF!A152</f>
        <v>OF37</v>
      </c>
      <c r="B14" s="88" t="str">
        <f>OF!B152</f>
        <v>Calcareous Region</v>
      </c>
      <c r="C14" s="88" t="str">
        <f>OF!C152</f>
        <v xml:space="preserve">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&gt;8).See Figure A-6 in Appendix A of the Manual.  If no map coverage, change to blank.
</v>
      </c>
      <c r="D14" s="114">
        <f>IF((OF!D152=""),"",OF!D152)</f>
        <v>0</v>
      </c>
      <c r="E14" s="207"/>
      <c r="F14" s="199"/>
      <c r="G14" s="1130">
        <f>IF((D14=""),"",D14/3)</f>
        <v>0</v>
      </c>
      <c r="H14" s="3" t="s">
        <v>2911</v>
      </c>
      <c r="I14" s="1116"/>
      <c r="K14" s="56"/>
    </row>
    <row r="15" spans="1:11" s="2" customFormat="1" ht="27" customHeight="1" thickBot="1" x14ac:dyDescent="0.25">
      <c r="A15" s="1670" t="str">
        <f>F!A4</f>
        <v>F1</v>
      </c>
      <c r="B15" s="1670" t="str">
        <f>F!B4</f>
        <v>Wetland Type</v>
      </c>
      <c r="C15" s="184" t="str">
        <f>F!C4</f>
        <v>Follow the key below and mark the ONE row that best describes MOST of the vegetated part of the AA:</v>
      </c>
      <c r="D15" s="186"/>
      <c r="E15" s="1128"/>
      <c r="F15" s="418"/>
      <c r="G15" s="328">
        <f>MAX(F17:F21)/MAX(E17:E21)</f>
        <v>0</v>
      </c>
      <c r="H15" s="1670" t="s">
        <v>1569</v>
      </c>
      <c r="I15" s="1865" t="s">
        <v>154</v>
      </c>
      <c r="K15" s="56"/>
    </row>
    <row r="16" spans="1:11" s="2" customFormat="1" ht="57" customHeight="1" thickBot="1" x14ac:dyDescent="0.25">
      <c r="A16" s="1670"/>
      <c r="B16" s="1670"/>
      <c r="C16" s="55" t="str">
        <f>F!C5</f>
        <v>A. Moss and/or lichen cover more than 25%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v>
      </c>
      <c r="D16" s="186"/>
      <c r="E16" s="187"/>
      <c r="F16" s="187"/>
      <c r="G16" s="205"/>
      <c r="H16" s="1670"/>
      <c r="I16" s="1866"/>
      <c r="K16" s="56"/>
    </row>
    <row r="17" spans="1:11" s="2" customFormat="1" ht="82.5" customHeight="1" x14ac:dyDescent="0.2">
      <c r="A17" s="1670"/>
      <c r="B17" s="1670"/>
      <c r="C17" s="243" t="str">
        <f>F!C6</f>
        <v>A1.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(Carex rariflora). Wetland surface and surrounding landscape are seldom sloping and wetland often is domed (convex). Inlet and outlet channels are usually absent.  If known, pH of peat is &lt;4.0.</v>
      </c>
      <c r="D17" s="129">
        <f>F!D6</f>
        <v>0</v>
      </c>
      <c r="E17" s="203">
        <v>0</v>
      </c>
      <c r="F17" s="187">
        <f>D17*E17</f>
        <v>0</v>
      </c>
      <c r="G17" s="430"/>
      <c r="H17" s="1670"/>
      <c r="I17" s="1866"/>
      <c r="K17" s="56"/>
    </row>
    <row r="18" spans="1:11" s="2" customFormat="1" ht="57" customHeight="1" thickBot="1" x14ac:dyDescent="0.25">
      <c r="A18" s="1670"/>
      <c r="B18" s="1670"/>
      <c r="C18" s="335" t="str">
        <f>F!C7</f>
        <v>A2.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v>
      </c>
      <c r="D18" s="33">
        <f>F!D7</f>
        <v>0</v>
      </c>
      <c r="E18" s="203">
        <v>3</v>
      </c>
      <c r="F18" s="187">
        <f>D18*E18</f>
        <v>0</v>
      </c>
      <c r="G18" s="431"/>
      <c r="H18" s="1670"/>
      <c r="I18" s="1866"/>
      <c r="K18" s="56"/>
    </row>
    <row r="19" spans="1:11" s="2" customFormat="1" ht="42.75" customHeight="1" thickBot="1" x14ac:dyDescent="0.25">
      <c r="A19" s="1670"/>
      <c r="B19" s="1670"/>
      <c r="C19" s="36" t="str">
        <f>F!C8</f>
        <v>B. Moss and/or lichen cover less than 25% of the ground. Soil is mineral or decomposed organic (muck). Choose between B1 and B2 and mark the choice with a 1 in their adjoining column:</v>
      </c>
      <c r="D19" s="203"/>
      <c r="E19" s="187"/>
      <c r="F19" s="203"/>
      <c r="G19" s="431"/>
      <c r="H19" s="1670"/>
      <c r="I19" s="1866"/>
      <c r="K19" s="56"/>
    </row>
    <row r="20" spans="1:11" s="2" customFormat="1" ht="39" customHeight="1" x14ac:dyDescent="0.2">
      <c r="A20" s="1670"/>
      <c r="B20" s="1670"/>
      <c r="C20" s="243" t="str">
        <f>F!C9</f>
        <v>B1. Trees and shrubs taller than 1 m comprise more than 25% of the vegetated cover. Surface water is mostly absent or inundates the vegetation only seasonally (e.g., vernal pools or floodplain).</v>
      </c>
      <c r="D20" s="145">
        <f>F!D9</f>
        <v>0</v>
      </c>
      <c r="E20" s="203">
        <v>2</v>
      </c>
      <c r="F20" s="187">
        <f>D20*E20</f>
        <v>0</v>
      </c>
      <c r="G20" s="430"/>
      <c r="H20" s="1670"/>
      <c r="I20" s="1866"/>
      <c r="K20" s="56"/>
    </row>
    <row r="21" spans="1:11" s="2" customFormat="1" ht="45" customHeight="1" thickBot="1" x14ac:dyDescent="0.25">
      <c r="A21" s="1671"/>
      <c r="B21" s="1671"/>
      <c r="C21" s="410" t="str">
        <f>F!C10</f>
        <v>B2. Not B1.  Tree &amp; tall shrubs comprise less than than 25% of the vegetated cover.  Vegetation is mostly herbaceous, e.g., cattail, bulrush, burreed, pond lily, horsetail. Surface water may be extensive and fluctuates seasonally, being either persistent or drying up partly or entirely.</v>
      </c>
      <c r="D21" s="841">
        <f>F!D10</f>
        <v>0</v>
      </c>
      <c r="E21" s="204">
        <v>4</v>
      </c>
      <c r="F21" s="188">
        <f>D21*E21</f>
        <v>0</v>
      </c>
      <c r="G21" s="1073"/>
      <c r="H21" s="1671"/>
      <c r="I21" s="1866"/>
      <c r="K21" s="56"/>
    </row>
    <row r="22" spans="1:11" ht="30" customHeight="1" thickBot="1" x14ac:dyDescent="0.25">
      <c r="A22" s="1703" t="str">
        <f>F!A51</f>
        <v>F9</v>
      </c>
      <c r="B22" s="1670" t="str">
        <f>F!B51</f>
        <v>N Fixers</v>
      </c>
      <c r="C22" s="184" t="str">
        <f>F!C51</f>
        <v>The percentage of the AA's vegetated cover that contains nitrogen-fixing plants (e.g., alder, sweetgale, clover, lupine, alfalfa, other legumes) is:</v>
      </c>
      <c r="D22" s="186"/>
      <c r="E22" s="186"/>
      <c r="F22" s="208"/>
      <c r="G22" s="297">
        <f>MAX(F23:F27)/MAX(E23:E27)</f>
        <v>0</v>
      </c>
      <c r="H22" s="1670" t="s">
        <v>606</v>
      </c>
      <c r="I22" s="1865" t="s">
        <v>155</v>
      </c>
    </row>
    <row r="23" spans="1:11" ht="15" customHeight="1" x14ac:dyDescent="0.2">
      <c r="A23" s="1703"/>
      <c r="B23" s="1670"/>
      <c r="C23" s="335" t="str">
        <f>F!C52</f>
        <v>&lt;1% or none.</v>
      </c>
      <c r="D23" s="183">
        <f>F!D52</f>
        <v>0</v>
      </c>
      <c r="E23" s="187">
        <v>0</v>
      </c>
      <c r="F23" s="187">
        <f>D23*E23</f>
        <v>0</v>
      </c>
      <c r="G23" s="292"/>
      <c r="H23" s="1670"/>
      <c r="I23" s="1866"/>
    </row>
    <row r="24" spans="1:11" ht="15" customHeight="1" x14ac:dyDescent="0.2">
      <c r="A24" s="1703"/>
      <c r="B24" s="1670"/>
      <c r="C24" s="182" t="str">
        <f>F!C53</f>
        <v>1-25% of the vegetated cover, in the AA or along its water edge (whichever has more).</v>
      </c>
      <c r="D24" s="128">
        <f>F!D53</f>
        <v>0</v>
      </c>
      <c r="E24" s="187">
        <v>1</v>
      </c>
      <c r="F24" s="187">
        <f>D24*E24</f>
        <v>0</v>
      </c>
      <c r="G24" s="293"/>
      <c r="H24" s="1670"/>
      <c r="I24" s="1866"/>
    </row>
    <row r="25" spans="1:11" ht="15" customHeight="1" x14ac:dyDescent="0.2">
      <c r="A25" s="1703"/>
      <c r="B25" s="1670"/>
      <c r="C25" s="182" t="str">
        <f>F!C54</f>
        <v>25-50% of the vegetated cover, in the AA or along its water edge (whichever has more).</v>
      </c>
      <c r="D25" s="128">
        <f>F!D54</f>
        <v>0</v>
      </c>
      <c r="E25" s="187">
        <v>2</v>
      </c>
      <c r="F25" s="187">
        <f>D25*E25</f>
        <v>0</v>
      </c>
      <c r="G25" s="293"/>
      <c r="H25" s="1670"/>
      <c r="I25" s="1866"/>
    </row>
    <row r="26" spans="1:11" ht="15" customHeight="1" x14ac:dyDescent="0.2">
      <c r="A26" s="1703"/>
      <c r="B26" s="1670"/>
      <c r="C26" s="182" t="str">
        <f>F!C55</f>
        <v>50-75% of the vegetated cover, in the AA or along its water edge (whichever has more).</v>
      </c>
      <c r="D26" s="128">
        <f>F!D55</f>
        <v>0</v>
      </c>
      <c r="E26" s="187">
        <v>3</v>
      </c>
      <c r="F26" s="187">
        <f>D26*E26</f>
        <v>0</v>
      </c>
      <c r="G26" s="293"/>
      <c r="H26" s="1670"/>
      <c r="I26" s="1866"/>
    </row>
    <row r="27" spans="1:11" ht="15" customHeight="1" thickBot="1" x14ac:dyDescent="0.25">
      <c r="A27" s="1722"/>
      <c r="B27" s="1671"/>
      <c r="C27" s="242" t="str">
        <f>F!C56</f>
        <v>&gt;75% of the vegetated cover, in the AA or along its water edge (whichever has more).</v>
      </c>
      <c r="D27" s="84">
        <f>F!D56</f>
        <v>0</v>
      </c>
      <c r="E27" s="188">
        <v>4</v>
      </c>
      <c r="F27" s="188">
        <f>D27*E27</f>
        <v>0</v>
      </c>
      <c r="G27" s="294"/>
      <c r="H27" s="1671"/>
      <c r="I27" s="1867"/>
    </row>
    <row r="28" spans="1:11" s="2" customFormat="1" ht="75" customHeight="1" thickBot="1" x14ac:dyDescent="0.25">
      <c r="A28" s="88" t="str">
        <f>F!A120</f>
        <v>F23</v>
      </c>
      <c r="B28" s="36" t="str">
        <f>F!B120</f>
        <v>Lacustrine Wetland</v>
      </c>
      <c r="C28" s="426" t="str">
        <f>F!C120</f>
        <v>The vegetated part of the AA is within or adjacent to a body of non-tidal standing open water whose size exceeds 8 hectares during most of a normal year.</v>
      </c>
      <c r="D28" s="155">
        <f>F!D120</f>
        <v>0</v>
      </c>
      <c r="E28" s="210"/>
      <c r="F28" s="199"/>
      <c r="G28" s="327" t="str">
        <f>IF((AllSat1&gt;0),"", IF((NoPersis=1),"", IF((D28=0),"",1)))</f>
        <v/>
      </c>
      <c r="H28" s="3" t="s">
        <v>1850</v>
      </c>
      <c r="I28" s="894" t="s">
        <v>159</v>
      </c>
      <c r="K28" s="56"/>
    </row>
    <row r="29" spans="1:11" s="2" customFormat="1" ht="30" customHeight="1" thickBot="1" x14ac:dyDescent="0.25">
      <c r="A29" s="1666" t="str">
        <f>F!A121</f>
        <v>F24</v>
      </c>
      <c r="B29" s="1666" t="str">
        <f>F!B121</f>
        <v>% of AA Without Surface Water</v>
      </c>
      <c r="C29" s="323" t="str">
        <f>F!C121</f>
        <v>The percentage of the AA that never contains surface water during an average year (that is, except perhaps for a few hours after snowmelt or rainstorms), but which is still a wetland, is:</v>
      </c>
      <c r="D29" s="191"/>
      <c r="E29" s="202"/>
      <c r="F29" s="390"/>
      <c r="G29" s="327">
        <f>MAX(F30:F35)/MAX(E30:E35)</f>
        <v>0</v>
      </c>
      <c r="H29" s="1669" t="s">
        <v>665</v>
      </c>
      <c r="I29" s="1865" t="s">
        <v>666</v>
      </c>
      <c r="K29" s="56"/>
    </row>
    <row r="30" spans="1:11" s="2" customFormat="1" ht="15" customHeight="1" x14ac:dyDescent="0.2">
      <c r="A30" s="1667"/>
      <c r="B30" s="1667"/>
      <c r="C30" s="427" t="str">
        <f>F!C122</f>
        <v xml:space="preserve">&lt;1% . In other words, all or nearly all of the AA is covered by water permanently or at least seasonally.  </v>
      </c>
      <c r="D30" s="156">
        <f>F!D122</f>
        <v>0</v>
      </c>
      <c r="E30" s="187">
        <v>5</v>
      </c>
      <c r="F30" s="187">
        <f t="shared" ref="F30:F35" si="0">D30*E30</f>
        <v>0</v>
      </c>
      <c r="G30" s="384"/>
      <c r="H30" s="1670"/>
      <c r="I30" s="1866"/>
      <c r="K30" s="56"/>
    </row>
    <row r="31" spans="1:11" s="2" customFormat="1" ht="15" customHeight="1" x14ac:dyDescent="0.2">
      <c r="A31" s="1667"/>
      <c r="B31" s="1667"/>
      <c r="C31" s="427" t="str">
        <f>F!C123</f>
        <v>1-25% of the AA,  or &lt;1% but &gt;0.01 ha never contains surface water.</v>
      </c>
      <c r="D31" s="156">
        <f>F!D123</f>
        <v>0</v>
      </c>
      <c r="E31" s="187">
        <v>4</v>
      </c>
      <c r="F31" s="187">
        <f t="shared" si="0"/>
        <v>0</v>
      </c>
      <c r="G31" s="384"/>
      <c r="H31" s="1670"/>
      <c r="I31" s="1866"/>
      <c r="K31" s="56"/>
    </row>
    <row r="32" spans="1:11" s="2" customFormat="1" ht="15" customHeight="1" x14ac:dyDescent="0.2">
      <c r="A32" s="1667"/>
      <c r="B32" s="1667"/>
      <c r="C32" s="427" t="str">
        <f>F!C124</f>
        <v>25-50% of the AA never contains surface water.</v>
      </c>
      <c r="D32" s="156">
        <f>F!D124</f>
        <v>0</v>
      </c>
      <c r="E32" s="187">
        <v>3</v>
      </c>
      <c r="F32" s="187">
        <f t="shared" si="0"/>
        <v>0</v>
      </c>
      <c r="G32" s="384"/>
      <c r="H32" s="1670"/>
      <c r="I32" s="1866"/>
      <c r="K32" s="56"/>
    </row>
    <row r="33" spans="1:11" s="2" customFormat="1" ht="15" customHeight="1" x14ac:dyDescent="0.2">
      <c r="A33" s="1667"/>
      <c r="B33" s="1667"/>
      <c r="C33" s="427" t="str">
        <f>F!C125</f>
        <v>50-75% of the AA never contains surface water.</v>
      </c>
      <c r="D33" s="156">
        <f>F!D125</f>
        <v>0</v>
      </c>
      <c r="E33" s="187">
        <v>2</v>
      </c>
      <c r="F33" s="187">
        <f t="shared" si="0"/>
        <v>0</v>
      </c>
      <c r="G33" s="384"/>
      <c r="H33" s="1670"/>
      <c r="I33" s="1866"/>
      <c r="K33" s="56"/>
    </row>
    <row r="34" spans="1:11" s="2" customFormat="1" ht="27" customHeight="1" x14ac:dyDescent="0.2">
      <c r="A34" s="1667"/>
      <c r="B34" s="1667"/>
      <c r="C34" s="427" t="str">
        <f>F!C126</f>
        <v>75-99% of the AA never contains surface water, OR &gt;99% and there is at least one persistently ponded water body larger than 1 ha in the AA.</v>
      </c>
      <c r="D34" s="156">
        <f>F!D126</f>
        <v>0</v>
      </c>
      <c r="E34" s="187">
        <v>1</v>
      </c>
      <c r="F34" s="187">
        <f t="shared" si="0"/>
        <v>0</v>
      </c>
      <c r="G34" s="384"/>
      <c r="H34" s="1670"/>
      <c r="I34" s="1866"/>
      <c r="K34" s="56"/>
    </row>
    <row r="35" spans="1:11" s="2" customFormat="1" ht="27" customHeight="1" thickBot="1" x14ac:dyDescent="0.25">
      <c r="A35" s="1668"/>
      <c r="B35" s="1668"/>
      <c r="C35" s="678" t="str">
        <f>F!C127</f>
        <v>99-100%. AND there is no persistently ponded water body larger than 1 ha within the AA. Enter "1" and SKIP to F42 (Channel Connection).</v>
      </c>
      <c r="D35" s="942">
        <f>F!D127</f>
        <v>0</v>
      </c>
      <c r="E35" s="188">
        <v>0</v>
      </c>
      <c r="F35" s="188">
        <f t="shared" si="0"/>
        <v>0</v>
      </c>
      <c r="G35" s="385"/>
      <c r="H35" s="1671"/>
      <c r="I35" s="1867"/>
      <c r="K35" s="56"/>
    </row>
    <row r="36" spans="1:11" s="2" customFormat="1" ht="45" customHeight="1" thickBot="1" x14ac:dyDescent="0.25">
      <c r="A36" s="1693" t="str">
        <f>F!A128</f>
        <v>F25</v>
      </c>
      <c r="B36" s="1670" t="str">
        <f>F!B128</f>
        <v>% of AA with Persistent Surface Water</v>
      </c>
      <c r="C36" s="245" t="str">
        <f>F!C128</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36" s="186"/>
      <c r="E36" s="186"/>
      <c r="F36" s="189"/>
      <c r="G36" s="328">
        <f>IF((AllSat1&gt;0),"",MAX(F37:F41)/MAX(E37:E41))</f>
        <v>0</v>
      </c>
      <c r="H36" s="1696" t="s">
        <v>1196</v>
      </c>
      <c r="I36" s="1866" t="s">
        <v>140</v>
      </c>
      <c r="K36" s="56"/>
    </row>
    <row r="37" spans="1:11" s="2" customFormat="1" ht="27" customHeight="1" x14ac:dyDescent="0.2">
      <c r="A37" s="1696"/>
      <c r="B37" s="1670"/>
      <c r="C37" s="4" t="str">
        <f>F!C129</f>
        <v>None. The AA dries up completely (no water in channels either) or never has surface water during most years.  SKIP to F27.</v>
      </c>
      <c r="D37" s="33">
        <f>F!D129</f>
        <v>0</v>
      </c>
      <c r="E37" s="186">
        <v>0</v>
      </c>
      <c r="F37" s="187">
        <f>D37*E37</f>
        <v>0</v>
      </c>
      <c r="G37" s="293"/>
      <c r="H37" s="1696"/>
      <c r="I37" s="1866"/>
      <c r="K37" s="56"/>
    </row>
    <row r="38" spans="1:11" ht="15" customHeight="1" x14ac:dyDescent="0.2">
      <c r="A38" s="1696"/>
      <c r="B38" s="1670"/>
      <c r="C38" s="4" t="str">
        <f>F!C130</f>
        <v>1-20% of the AA.</v>
      </c>
      <c r="D38" s="33">
        <f>F!D130</f>
        <v>0</v>
      </c>
      <c r="E38" s="187">
        <v>1</v>
      </c>
      <c r="F38" s="187">
        <f>D38*E38</f>
        <v>0</v>
      </c>
      <c r="G38" s="293"/>
      <c r="H38" s="1696"/>
      <c r="I38" s="1866"/>
    </row>
    <row r="39" spans="1:11" ht="15" customHeight="1" x14ac:dyDescent="0.2">
      <c r="A39" s="1696"/>
      <c r="B39" s="1670"/>
      <c r="C39" s="4" t="str">
        <f>F!C131</f>
        <v>20-50% of the AA.</v>
      </c>
      <c r="D39" s="33">
        <f>F!D131</f>
        <v>0</v>
      </c>
      <c r="E39" s="187">
        <v>2</v>
      </c>
      <c r="F39" s="187">
        <f>D39*E39</f>
        <v>0</v>
      </c>
      <c r="G39" s="293"/>
      <c r="H39" s="1696"/>
      <c r="I39" s="1866"/>
    </row>
    <row r="40" spans="1:11" ht="15" customHeight="1" x14ac:dyDescent="0.2">
      <c r="A40" s="1696"/>
      <c r="B40" s="1670"/>
      <c r="C40" s="4" t="str">
        <f>F!C132</f>
        <v>50-95% of the AA.</v>
      </c>
      <c r="D40" s="33">
        <f>F!D132</f>
        <v>0</v>
      </c>
      <c r="E40" s="187">
        <v>3</v>
      </c>
      <c r="F40" s="187">
        <f>D40*E40</f>
        <v>0</v>
      </c>
      <c r="G40" s="293"/>
      <c r="H40" s="1696"/>
      <c r="I40" s="1866"/>
    </row>
    <row r="41" spans="1:11" ht="15" customHeight="1" thickBot="1" x14ac:dyDescent="0.25">
      <c r="A41" s="1712"/>
      <c r="B41" s="1671"/>
      <c r="C41" s="85" t="str">
        <f>F!C133</f>
        <v>&gt;95% of the AA. True for many fringe wetlands.</v>
      </c>
      <c r="D41" s="84">
        <f>F!D133</f>
        <v>0</v>
      </c>
      <c r="E41" s="204">
        <v>4</v>
      </c>
      <c r="F41" s="187">
        <f>D41*E41</f>
        <v>0</v>
      </c>
      <c r="G41" s="294"/>
      <c r="H41" s="1712"/>
      <c r="I41" s="1867"/>
    </row>
    <row r="42" spans="1:11" ht="30" customHeight="1" thickBot="1" x14ac:dyDescent="0.25">
      <c r="A42" s="1713" t="str">
        <f>F!A153</f>
        <v>F29</v>
      </c>
      <c r="B42" s="1669" t="str">
        <f>F!B153</f>
        <v>Predominant Depth Class</v>
      </c>
      <c r="C42" s="240" t="str">
        <f>F!C153</f>
        <v>During most of the time when surface water is present during the growing season, its depth, averaged over the entire inundated part of the AA, is:</v>
      </c>
      <c r="D42" s="191"/>
      <c r="E42" s="191"/>
      <c r="F42" s="209"/>
      <c r="G42" s="291">
        <f>IF((AllSat1&gt;0),"",MAX(F43:F47)/MAX(E43:E47))</f>
        <v>0</v>
      </c>
      <c r="H42" s="1693" t="s">
        <v>1197</v>
      </c>
      <c r="I42" s="1865" t="s">
        <v>142</v>
      </c>
    </row>
    <row r="43" spans="1:11" ht="15" customHeight="1" x14ac:dyDescent="0.2">
      <c r="A43" s="1714"/>
      <c r="B43" s="1670"/>
      <c r="C43" s="14" t="str">
        <f>F!C154</f>
        <v>&lt;10 cm deep (but &gt;0).</v>
      </c>
      <c r="D43" s="129">
        <f>F!D154</f>
        <v>0</v>
      </c>
      <c r="E43" s="187">
        <v>1</v>
      </c>
      <c r="F43" s="187">
        <f t="shared" ref="F43:F51" si="1">D43*E43</f>
        <v>0</v>
      </c>
      <c r="G43" s="292"/>
      <c r="H43" s="1696"/>
      <c r="I43" s="1866"/>
    </row>
    <row r="44" spans="1:11" ht="15" customHeight="1" x14ac:dyDescent="0.2">
      <c r="A44" s="1714"/>
      <c r="B44" s="1670"/>
      <c r="C44" s="4" t="str">
        <f>F!C155</f>
        <v>10 - 50 cm deep.</v>
      </c>
      <c r="D44" s="33">
        <f>F!D155</f>
        <v>0</v>
      </c>
      <c r="E44" s="187">
        <v>1</v>
      </c>
      <c r="F44" s="187">
        <f t="shared" si="1"/>
        <v>0</v>
      </c>
      <c r="G44" s="293"/>
      <c r="H44" s="1696"/>
      <c r="I44" s="1866"/>
    </row>
    <row r="45" spans="1:11" ht="15" customHeight="1" x14ac:dyDescent="0.2">
      <c r="A45" s="1714"/>
      <c r="B45" s="1670"/>
      <c r="C45" s="4" t="str">
        <f>F!C156</f>
        <v>0.5 - 1 m deep.</v>
      </c>
      <c r="D45" s="33">
        <f>F!D156</f>
        <v>0</v>
      </c>
      <c r="E45" s="187">
        <v>2</v>
      </c>
      <c r="F45" s="187">
        <f t="shared" si="1"/>
        <v>0</v>
      </c>
      <c r="G45" s="293"/>
      <c r="H45" s="1696"/>
      <c r="I45" s="1866"/>
    </row>
    <row r="46" spans="1:11" ht="15" customHeight="1" x14ac:dyDescent="0.2">
      <c r="A46" s="1714"/>
      <c r="B46" s="1670"/>
      <c r="C46" s="4" t="str">
        <f>F!C157</f>
        <v>1 - 2 m deep.</v>
      </c>
      <c r="D46" s="33">
        <f>F!D157</f>
        <v>0</v>
      </c>
      <c r="E46" s="187">
        <v>4</v>
      </c>
      <c r="F46" s="187">
        <f t="shared" si="1"/>
        <v>0</v>
      </c>
      <c r="G46" s="293"/>
      <c r="H46" s="1696"/>
      <c r="I46" s="1866"/>
    </row>
    <row r="47" spans="1:11" ht="15" customHeight="1" thickBot="1" x14ac:dyDescent="0.25">
      <c r="A47" s="1715"/>
      <c r="B47" s="1671"/>
      <c r="C47" s="85" t="str">
        <f>F!C158</f>
        <v>&gt;2 m deep. True for many fringe wetlands.</v>
      </c>
      <c r="D47" s="84">
        <f>F!D158</f>
        <v>0</v>
      </c>
      <c r="E47" s="188">
        <v>3</v>
      </c>
      <c r="F47" s="188">
        <f t="shared" si="1"/>
        <v>0</v>
      </c>
      <c r="G47" s="294"/>
      <c r="H47" s="1712"/>
      <c r="I47" s="1867"/>
    </row>
    <row r="48" spans="1:11" ht="21" customHeight="1" thickBot="1" x14ac:dyDescent="0.25">
      <c r="A48" s="1714" t="str">
        <f>F!A159</f>
        <v>F30</v>
      </c>
      <c r="B48" s="1670" t="str">
        <f>F!B159</f>
        <v>Depth Classes - Evenness of Proportions</v>
      </c>
      <c r="C48" s="245" t="str">
        <f>F!C159</f>
        <v>When present, surface water in most of the AA usually consists of (select one):</v>
      </c>
      <c r="D48" s="186"/>
      <c r="E48" s="186"/>
      <c r="F48" s="189"/>
      <c r="G48" s="297">
        <f>IF((AllSat1&gt;0),"",MAX(F49:F51)/MAX(E49:E51))</f>
        <v>0</v>
      </c>
      <c r="H48" s="1696" t="s">
        <v>1851</v>
      </c>
      <c r="I48" s="1669" t="s">
        <v>2858</v>
      </c>
    </row>
    <row r="49" spans="1:9" ht="15" customHeight="1" x14ac:dyDescent="0.2">
      <c r="A49" s="1714"/>
      <c r="B49" s="1670"/>
      <c r="C49" s="14" t="str">
        <f>F!C160</f>
        <v xml:space="preserve">One depth class that comprises &gt;90% of the AA’s inundated area (use the classes in the question above). </v>
      </c>
      <c r="D49" s="129">
        <f>F!D160</f>
        <v>0</v>
      </c>
      <c r="E49" s="187">
        <v>0</v>
      </c>
      <c r="F49" s="187">
        <f t="shared" si="1"/>
        <v>0</v>
      </c>
      <c r="G49" s="292"/>
      <c r="H49" s="1696"/>
      <c r="I49" s="1670"/>
    </row>
    <row r="50" spans="1:9" ht="15" customHeight="1" x14ac:dyDescent="0.2">
      <c r="A50" s="1714"/>
      <c r="B50" s="1670"/>
      <c r="C50" s="4" t="str">
        <f>F!C161</f>
        <v>One depth class that comprises 50-90% of the AA's inundated area.</v>
      </c>
      <c r="D50" s="33">
        <f>F!D161</f>
        <v>0</v>
      </c>
      <c r="E50" s="187">
        <v>1</v>
      </c>
      <c r="F50" s="187">
        <f t="shared" si="1"/>
        <v>0</v>
      </c>
      <c r="G50" s="293"/>
      <c r="H50" s="1696"/>
      <c r="I50" s="1670"/>
    </row>
    <row r="51" spans="1:9" ht="15" customHeight="1" thickBot="1" x14ac:dyDescent="0.25">
      <c r="A51" s="1715"/>
      <c r="B51" s="1671"/>
      <c r="C51" s="85" t="str">
        <f>F!C162</f>
        <v>Neither of above. There are 3 or more depth classes and none occupy &gt;50%.</v>
      </c>
      <c r="D51" s="84">
        <f>F!D162</f>
        <v>0</v>
      </c>
      <c r="E51" s="188">
        <v>2</v>
      </c>
      <c r="F51" s="188">
        <f t="shared" si="1"/>
        <v>0</v>
      </c>
      <c r="G51" s="294"/>
      <c r="H51" s="1712"/>
      <c r="I51" s="1671"/>
    </row>
    <row r="52" spans="1:9" ht="30" customHeight="1" thickBot="1" x14ac:dyDescent="0.25">
      <c r="A52" s="1954" t="str">
        <f>F!A170</f>
        <v>F33</v>
      </c>
      <c r="B52" s="1669" t="str">
        <f>F!B170</f>
        <v xml:space="preserve">% of Ponded Water that is Open </v>
      </c>
      <c r="C52" s="3" t="str">
        <f>F!C170</f>
        <v>In ducks-eye aerial view, the percentage of the ponded water that is open (lacking emergent vegetation during most of the growing season, and unhidden by a forest or shrub canopy) is:</v>
      </c>
      <c r="D52" s="205"/>
      <c r="E52" s="186"/>
      <c r="F52" s="208"/>
      <c r="G52" s="297">
        <f>IF((AllSat1&gt;0),"",IF((NoPonded=1),"",MAX(F53:F58)/MAX(E53:E58)))</f>
        <v>0</v>
      </c>
      <c r="H52" s="1696" t="s">
        <v>1199</v>
      </c>
      <c r="I52" s="1865" t="s">
        <v>141</v>
      </c>
    </row>
    <row r="53" spans="1:9" ht="27" customHeight="1" x14ac:dyDescent="0.2">
      <c r="A53" s="1893"/>
      <c r="B53" s="1670"/>
      <c r="C53" s="241" t="str">
        <f>F!C171</f>
        <v>None, or &lt;1% of the AA and largest pool occupies &lt;0.01 hectares. Enter "1" and SKIP to F41 (Floating Algae &amp; Duckweed).</v>
      </c>
      <c r="D53" s="128">
        <f>F!D171</f>
        <v>0</v>
      </c>
      <c r="E53" s="187">
        <v>0</v>
      </c>
      <c r="F53" s="187">
        <f t="shared" ref="F53:F58" si="2">D53*E53</f>
        <v>0</v>
      </c>
      <c r="G53" s="292"/>
      <c r="H53" s="1696"/>
      <c r="I53" s="1866"/>
    </row>
    <row r="54" spans="1:9" ht="15" customHeight="1" x14ac:dyDescent="0.2">
      <c r="A54" s="1893"/>
      <c r="B54" s="1670"/>
      <c r="C54" s="628" t="str">
        <f>F!C172</f>
        <v>1-4% of the ponded water. Enter "1" and SKIP to F41 (Floating Algae &amp; Duckweed).</v>
      </c>
      <c r="D54" s="128">
        <f>F!D172</f>
        <v>0</v>
      </c>
      <c r="E54" s="187">
        <v>3</v>
      </c>
      <c r="F54" s="187">
        <f t="shared" si="2"/>
        <v>0</v>
      </c>
      <c r="G54" s="293"/>
      <c r="H54" s="1696"/>
      <c r="I54" s="1866"/>
    </row>
    <row r="55" spans="1:9" ht="15" customHeight="1" x14ac:dyDescent="0.2">
      <c r="A55" s="1893"/>
      <c r="B55" s="1670"/>
      <c r="C55" s="222" t="str">
        <f>F!C173</f>
        <v>5-30% of the ponded water.</v>
      </c>
      <c r="D55" s="33">
        <f>F!D173</f>
        <v>0</v>
      </c>
      <c r="E55" s="187">
        <v>4</v>
      </c>
      <c r="F55" s="187">
        <f t="shared" si="2"/>
        <v>0</v>
      </c>
      <c r="G55" s="293"/>
      <c r="H55" s="1696"/>
      <c r="I55" s="1866"/>
    </row>
    <row r="56" spans="1:9" ht="15" customHeight="1" x14ac:dyDescent="0.2">
      <c r="A56" s="1893"/>
      <c r="B56" s="1670"/>
      <c r="C56" s="628" t="str">
        <f>F!C174</f>
        <v>30-70% of the ponded water.</v>
      </c>
      <c r="D56" s="183">
        <f>F!D174</f>
        <v>0</v>
      </c>
      <c r="E56" s="187">
        <v>2</v>
      </c>
      <c r="F56" s="187">
        <f t="shared" si="2"/>
        <v>0</v>
      </c>
      <c r="G56" s="293"/>
      <c r="H56" s="1696"/>
      <c r="I56" s="1866"/>
    </row>
    <row r="57" spans="1:9" ht="15" customHeight="1" x14ac:dyDescent="0.2">
      <c r="A57" s="1893"/>
      <c r="B57" s="1670"/>
      <c r="C57" s="222" t="str">
        <f>F!C175</f>
        <v>70-99% of the ponded water.</v>
      </c>
      <c r="D57" s="33">
        <f>F!D175</f>
        <v>0</v>
      </c>
      <c r="E57" s="187">
        <v>1</v>
      </c>
      <c r="F57" s="187">
        <f t="shared" si="2"/>
        <v>0</v>
      </c>
      <c r="G57" s="293"/>
      <c r="H57" s="1696"/>
      <c r="I57" s="1866"/>
    </row>
    <row r="58" spans="1:9" ht="15" customHeight="1" thickBot="1" x14ac:dyDescent="0.25">
      <c r="A58" s="1894"/>
      <c r="B58" s="1671"/>
      <c r="C58" s="677" t="str">
        <f>F!C176</f>
        <v xml:space="preserve">100% of the ponded water. </v>
      </c>
      <c r="D58" s="151">
        <f>F!D176</f>
        <v>0</v>
      </c>
      <c r="E58" s="188">
        <v>1</v>
      </c>
      <c r="F58" s="187">
        <f t="shared" si="2"/>
        <v>0</v>
      </c>
      <c r="G58" s="302"/>
      <c r="H58" s="1696"/>
      <c r="I58" s="1867"/>
    </row>
    <row r="59" spans="1:9" ht="30" customHeight="1" thickBot="1" x14ac:dyDescent="0.25">
      <c r="A59" s="1721" t="str">
        <f>F!A195</f>
        <v>F37</v>
      </c>
      <c r="B59" s="1669" t="str">
        <f>F!B195</f>
        <v>Interspersion of Emergents &amp; Open Water</v>
      </c>
      <c r="C59" s="240" t="str">
        <f>F!C195</f>
        <v>During most of the part of the growing season when water is present, the spatial pattern of emergent vegetation within the water is mostly:</v>
      </c>
      <c r="D59" s="186"/>
      <c r="E59" s="191"/>
      <c r="F59" s="209"/>
      <c r="G59" s="291">
        <f>IF((AllSat1&gt;0),"",IF((NoPonded=1),"",IF((NoOpenPonded+NoOpenPonded1&gt;0),"",IF((AllOpenPond=1),"",IF((NoRobustEm=1),"",MAX(F60:F62)/MAX(E60:E62))))))</f>
        <v>0</v>
      </c>
      <c r="H59" s="1669" t="s">
        <v>1200</v>
      </c>
      <c r="I59" s="1865" t="s">
        <v>143</v>
      </c>
    </row>
    <row r="60" spans="1:9" ht="15" customHeight="1" x14ac:dyDescent="0.2">
      <c r="A60" s="1703"/>
      <c r="B60" s="1670"/>
      <c r="C60" s="14" t="str">
        <f>F!C196</f>
        <v>Scattered. More than 30% of such vegetation forms small islands or corridors surrounded by water.</v>
      </c>
      <c r="D60" s="129">
        <f>F!D196</f>
        <v>0</v>
      </c>
      <c r="E60" s="186">
        <v>3</v>
      </c>
      <c r="F60" s="187">
        <f>D60*E60</f>
        <v>0</v>
      </c>
      <c r="G60" s="189"/>
      <c r="H60" s="1670"/>
      <c r="I60" s="1866"/>
    </row>
    <row r="61" spans="1:9" ht="15" customHeight="1" x14ac:dyDescent="0.2">
      <c r="A61" s="1703"/>
      <c r="B61" s="1670"/>
      <c r="C61" s="4" t="str">
        <f>F!C197</f>
        <v>Intermediate.</v>
      </c>
      <c r="D61" s="33">
        <f>F!D197</f>
        <v>0</v>
      </c>
      <c r="E61" s="186">
        <v>2</v>
      </c>
      <c r="F61" s="187">
        <f>D61*E61</f>
        <v>0</v>
      </c>
      <c r="G61" s="189"/>
      <c r="H61" s="1670"/>
      <c r="I61" s="1866"/>
    </row>
    <row r="62" spans="1:9" ht="27" customHeight="1" thickBot="1" x14ac:dyDescent="0.25">
      <c r="A62" s="1703"/>
      <c r="B62" s="1670"/>
      <c r="C62" s="241" t="str">
        <f>F!C198</f>
        <v>Clumped. More than 70% of such vegetation is in bands along the wetland perimeter or is clumped at one or a few sides of the surface water area.</v>
      </c>
      <c r="D62" s="128">
        <f>F!D198</f>
        <v>0</v>
      </c>
      <c r="E62" s="206">
        <v>1</v>
      </c>
      <c r="F62" s="190">
        <f>D62*E62</f>
        <v>0</v>
      </c>
      <c r="G62" s="200"/>
      <c r="H62" s="1670"/>
      <c r="I62" s="1867"/>
    </row>
    <row r="63" spans="1:9" ht="45" customHeight="1" thickBot="1" x14ac:dyDescent="0.25">
      <c r="A63" s="1713" t="str">
        <f>F!A200</f>
        <v>F39</v>
      </c>
      <c r="B63" s="1669" t="str">
        <f>F!B200</f>
        <v>Non-vegetated Aquatic Cover</v>
      </c>
      <c r="C63" s="240" t="str">
        <f>F!C200</f>
        <v>During most of the growing season and in waters deeper than 0.5 m, the cover for fish, aquatic invertebrates, and/or amphibians that is provided NOT by living vegetation, but by accumulations of dead wood and undercut banks is:</v>
      </c>
      <c r="D63" s="191"/>
      <c r="E63" s="191"/>
      <c r="F63" s="209"/>
      <c r="G63" s="291" t="str">
        <f>IF((AllSat1&gt;0),"",IF((OpenW=0),"",IF((DeepPersis=0),"",MAX(F64:F66)/MAX(E64:E66))))</f>
        <v/>
      </c>
      <c r="H63" s="1693" t="s">
        <v>1182</v>
      </c>
      <c r="I63" s="1669" t="s">
        <v>2854</v>
      </c>
    </row>
    <row r="64" spans="1:9" ht="15" customHeight="1" x14ac:dyDescent="0.2">
      <c r="A64" s="1714"/>
      <c r="B64" s="1670"/>
      <c r="C64" s="14" t="str">
        <f>F!C201</f>
        <v>Little or none.</v>
      </c>
      <c r="D64" s="129">
        <f>F!D201</f>
        <v>0</v>
      </c>
      <c r="E64" s="187">
        <v>0</v>
      </c>
      <c r="F64" s="187">
        <f>D64*E64</f>
        <v>0</v>
      </c>
      <c r="G64" s="292"/>
      <c r="H64" s="1696"/>
      <c r="I64" s="1670"/>
    </row>
    <row r="65" spans="1:9" ht="15" customHeight="1" x14ac:dyDescent="0.2">
      <c r="A65" s="1714"/>
      <c r="B65" s="1670"/>
      <c r="C65" s="4" t="str">
        <f>F!C202</f>
        <v>Intermediate.</v>
      </c>
      <c r="D65" s="33">
        <f>F!D202</f>
        <v>0</v>
      </c>
      <c r="E65" s="187">
        <v>1</v>
      </c>
      <c r="F65" s="187">
        <f>D65*E65</f>
        <v>0</v>
      </c>
      <c r="G65" s="420"/>
      <c r="H65" s="1696"/>
      <c r="I65" s="1670"/>
    </row>
    <row r="66" spans="1:9" ht="15" customHeight="1" thickBot="1" x14ac:dyDescent="0.25">
      <c r="A66" s="1715"/>
      <c r="B66" s="1671"/>
      <c r="C66" s="85" t="str">
        <f>F!C203</f>
        <v>Extensive.</v>
      </c>
      <c r="D66" s="84">
        <f>F!D203</f>
        <v>0</v>
      </c>
      <c r="E66" s="188">
        <v>2</v>
      </c>
      <c r="F66" s="188">
        <f>D66*E66</f>
        <v>0</v>
      </c>
      <c r="G66" s="294"/>
      <c r="H66" s="1712"/>
      <c r="I66" s="1671"/>
    </row>
    <row r="67" spans="1:9" ht="67.5" customHeight="1" thickBot="1" x14ac:dyDescent="0.25">
      <c r="A67" s="1714" t="str">
        <f>F!A206</f>
        <v>F42</v>
      </c>
      <c r="B67" s="1670" t="str">
        <f>F!B206</f>
        <v>Channel Connection &amp; Outflow Duration</v>
      </c>
      <c r="C67" s="245" t="str">
        <f>F!C206</f>
        <v>The most persistent surface water connection (outlet channel or pipe, ditch, or overbank water exchange) between the AA and a downslope stream network is: [Note: If the AA represents only part of a wetland, answer this according to whichever is the least permanent surface connection: the one between the AA and the rest of the wetland, or the surface connection between the wetland and the downslope stream network.]</v>
      </c>
      <c r="D67" s="186"/>
      <c r="E67" s="186"/>
      <c r="F67" s="208"/>
      <c r="G67" s="297">
        <f>MAX(F68:F72)/MAX(E68:E72)</f>
        <v>0</v>
      </c>
      <c r="H67" s="1693" t="s">
        <v>1563</v>
      </c>
      <c r="I67" s="1865" t="s">
        <v>144</v>
      </c>
    </row>
    <row r="68" spans="1:9" ht="15" customHeight="1" x14ac:dyDescent="0.2">
      <c r="A68" s="1714"/>
      <c r="B68" s="1670"/>
      <c r="C68" s="14" t="str">
        <f>F!C207</f>
        <v>Persistent (surface water flows out for &gt;9 months/year).</v>
      </c>
      <c r="D68" s="129">
        <f>F!D207</f>
        <v>0</v>
      </c>
      <c r="E68" s="187">
        <v>3</v>
      </c>
      <c r="F68" s="187">
        <f>D68*E68</f>
        <v>0</v>
      </c>
      <c r="G68" s="292"/>
      <c r="H68" s="1696"/>
      <c r="I68" s="1866"/>
    </row>
    <row r="69" spans="1:9" ht="15" customHeight="1" x14ac:dyDescent="0.2">
      <c r="A69" s="1714"/>
      <c r="B69" s="1670"/>
      <c r="C69" s="4" t="str">
        <f>F!C208</f>
        <v>Seasonal (surface water flows out for 14 days to 9 months/year, not necessarily consecutive).</v>
      </c>
      <c r="D69" s="33">
        <f>F!D208</f>
        <v>0</v>
      </c>
      <c r="E69" s="187">
        <v>2</v>
      </c>
      <c r="F69" s="187">
        <f>D69*E69</f>
        <v>0</v>
      </c>
      <c r="G69" s="293"/>
      <c r="H69" s="1696"/>
      <c r="I69" s="1866"/>
    </row>
    <row r="70" spans="1:9" ht="15" customHeight="1" x14ac:dyDescent="0.2">
      <c r="A70" s="1714"/>
      <c r="B70" s="1670"/>
      <c r="C70" s="4" t="str">
        <f>F!C209</f>
        <v>Temporary (surface water flows out for &lt;14 days, not necessarily consecutive).</v>
      </c>
      <c r="D70" s="33">
        <f>F!D209</f>
        <v>0</v>
      </c>
      <c r="E70" s="187">
        <v>1</v>
      </c>
      <c r="F70" s="187">
        <f>D70*E70</f>
        <v>0</v>
      </c>
      <c r="G70" s="293"/>
      <c r="H70" s="1696"/>
      <c r="I70" s="1866"/>
    </row>
    <row r="71" spans="1:9" ht="27" customHeight="1" x14ac:dyDescent="0.2">
      <c r="A71" s="1714"/>
      <c r="B71" s="1670"/>
      <c r="C71" s="4" t="str">
        <f>F!C210</f>
        <v>None -- but maps show a stream network downslope from the AA and within a distance that is less than the AA's length. SKIP to F47 (pH Measurement).</v>
      </c>
      <c r="D71" s="33">
        <f>F!D210</f>
        <v>0</v>
      </c>
      <c r="E71" s="203">
        <v>0</v>
      </c>
      <c r="F71" s="187">
        <f>D71*E71</f>
        <v>0</v>
      </c>
      <c r="G71" s="302"/>
      <c r="H71" s="1696"/>
      <c r="I71" s="1866"/>
    </row>
    <row r="72" spans="1:9" ht="27.6" customHeight="1" thickBot="1" x14ac:dyDescent="0.25">
      <c r="A72" s="1715"/>
      <c r="B72" s="1671"/>
      <c r="C72" s="85" t="str">
        <f>F!C211</f>
        <v>No surface water flows out of the wetland except possibly during extreme events (&lt;once per 10 years). Or, water flows only into a wetland, ditch, or lake that lacks an outlet. SKIP to F47 (pH Measurement).</v>
      </c>
      <c r="D72" s="84">
        <f>F!D211</f>
        <v>0</v>
      </c>
      <c r="E72" s="204">
        <v>0</v>
      </c>
      <c r="F72" s="188">
        <f>D72*E72</f>
        <v>0</v>
      </c>
      <c r="G72" s="294"/>
      <c r="H72" s="1712"/>
      <c r="I72" s="1867"/>
    </row>
    <row r="73" spans="1:9" ht="30" customHeight="1" thickBot="1" x14ac:dyDescent="0.25">
      <c r="A73" s="1713" t="str">
        <f>F!A218</f>
        <v>F46</v>
      </c>
      <c r="B73" s="1669" t="str">
        <f>F!B218</f>
        <v>Throughflow Resistance</v>
      </c>
      <c r="C73" s="240" t="str">
        <f>F!C218</f>
        <v>During its travel through the AA at the time of peak annual flow, water arriving in channels: [select only the ONE encountered by most of the incoming water].</v>
      </c>
      <c r="D73" s="191"/>
      <c r="E73" s="191"/>
      <c r="F73" s="209"/>
      <c r="G73" s="291">
        <f>IF(AND(Inflows=0,OutNone=1,OutNone1=1),"",MAX(F74:F78)/MAX(E74:E78))</f>
        <v>0</v>
      </c>
      <c r="H73" s="1693" t="s">
        <v>1201</v>
      </c>
      <c r="I73" s="1865" t="s">
        <v>145</v>
      </c>
    </row>
    <row r="74" spans="1:9" ht="42" customHeight="1" x14ac:dyDescent="0.2">
      <c r="A74" s="1714"/>
      <c r="B74" s="1670"/>
      <c r="C74" s="14" t="str">
        <f>F!C219</f>
        <v>Does not bump into many plant stems as it travels through the AA. Nearly all the water continues to travel in unvegetated (often incised) channels that have minimal contact with wetland vegetation, or through a zone of open water such as an instream pond or lake.</v>
      </c>
      <c r="D74" s="129">
        <f>F!D219</f>
        <v>0</v>
      </c>
      <c r="E74" s="187">
        <v>0</v>
      </c>
      <c r="F74" s="187">
        <f>D74*E74</f>
        <v>0</v>
      </c>
      <c r="G74" s="292"/>
      <c r="H74" s="1696"/>
      <c r="I74" s="1866"/>
    </row>
    <row r="75" spans="1:9" ht="15" customHeight="1" x14ac:dyDescent="0.2">
      <c r="A75" s="1714"/>
      <c r="B75" s="1670"/>
      <c r="C75" s="4" t="str">
        <f>F!C220</f>
        <v>Bumps into herbaceous vegetation but mostly remains in fairly straight channels.</v>
      </c>
      <c r="D75" s="33">
        <f>F!D220</f>
        <v>0</v>
      </c>
      <c r="E75" s="187">
        <v>1</v>
      </c>
      <c r="F75" s="187">
        <f>D75*E75</f>
        <v>0</v>
      </c>
      <c r="G75" s="293"/>
      <c r="H75" s="1696"/>
      <c r="I75" s="1866"/>
    </row>
    <row r="76" spans="1:9" ht="27" customHeight="1" x14ac:dyDescent="0.2">
      <c r="A76" s="1714"/>
      <c r="B76" s="1670"/>
      <c r="C76" s="4" t="str">
        <f>F!C221</f>
        <v>Bumps into herbaceous vegetation and mostly spreads throughout, or is in widely meandering, multi-branched, or braided channels.</v>
      </c>
      <c r="D76" s="33">
        <f>F!D221</f>
        <v>0</v>
      </c>
      <c r="E76" s="187">
        <v>3</v>
      </c>
      <c r="F76" s="187">
        <f>D76*E76</f>
        <v>0</v>
      </c>
      <c r="G76" s="293"/>
      <c r="H76" s="1696"/>
      <c r="I76" s="1866"/>
    </row>
    <row r="77" spans="1:9" ht="15" customHeight="1" x14ac:dyDescent="0.2">
      <c r="A77" s="1714"/>
      <c r="B77" s="1670"/>
      <c r="C77" s="4" t="str">
        <f>F!C222</f>
        <v>Bumps into tree trunks and/or shrub stems but mostly remains in fairly straight channels.</v>
      </c>
      <c r="D77" s="33">
        <f>F!D222</f>
        <v>0</v>
      </c>
      <c r="E77" s="187">
        <v>2</v>
      </c>
      <c r="F77" s="187">
        <f>D77*E77</f>
        <v>0</v>
      </c>
      <c r="G77" s="293"/>
      <c r="H77" s="1696"/>
      <c r="I77" s="1866"/>
    </row>
    <row r="78" spans="1:9" ht="27" customHeight="1" thickBot="1" x14ac:dyDescent="0.25">
      <c r="A78" s="1715"/>
      <c r="B78" s="1671"/>
      <c r="C78" s="85" t="str">
        <f>F!C223</f>
        <v>Bumps into tree trunks and/or shrub stems and follows a fairly indirect path from entrance to exit (meandering, multi-branched, or braided).</v>
      </c>
      <c r="D78" s="84">
        <f>F!D223</f>
        <v>0</v>
      </c>
      <c r="E78" s="188">
        <v>3</v>
      </c>
      <c r="F78" s="188">
        <f>D78*E78</f>
        <v>0</v>
      </c>
      <c r="G78" s="294"/>
      <c r="H78" s="1712"/>
      <c r="I78" s="1867"/>
    </row>
    <row r="79" spans="1:9" ht="21" customHeight="1" thickBot="1" x14ac:dyDescent="0.25">
      <c r="A79" s="1669" t="str">
        <f>F!A224</f>
        <v>F47</v>
      </c>
      <c r="B79" s="1669" t="str">
        <f>F!B224</f>
        <v>pH Measurement</v>
      </c>
      <c r="C79" s="55" t="str">
        <f>F!C224</f>
        <v>The pH in most of the AA's surface water:</v>
      </c>
      <c r="D79" s="752"/>
      <c r="E79" s="191"/>
      <c r="F79" s="192"/>
      <c r="G79" s="288">
        <f>IF((D82=1),"",IF((D81=0),0, IF((AND(D80&gt;7.5,D80&lt;9)),1,0)))</f>
        <v>0</v>
      </c>
      <c r="H79" s="1669" t="s">
        <v>2590</v>
      </c>
      <c r="I79" s="1865" t="s">
        <v>189</v>
      </c>
    </row>
    <row r="80" spans="1:9" ht="15" customHeight="1" thickBot="1" x14ac:dyDescent="0.25">
      <c r="A80" s="1670"/>
      <c r="B80" s="1670"/>
      <c r="C80" s="1150" t="str">
        <f>F!C225</f>
        <v>Was measured, and is:  [enter the reading in the column to the right.]</v>
      </c>
      <c r="D80" s="1425" t="str">
        <f>IF((F!D225=""),"",F!D225)</f>
        <v/>
      </c>
      <c r="E80" s="203"/>
      <c r="F80" s="187"/>
      <c r="G80" s="189"/>
      <c r="H80" s="1670"/>
      <c r="I80" s="1866"/>
    </row>
    <row r="81" spans="1:11" ht="27" customHeight="1" x14ac:dyDescent="0.2">
      <c r="A81" s="1670"/>
      <c r="B81" s="1670"/>
      <c r="C81" s="1152" t="str">
        <f>F!C226</f>
        <v xml:space="preserve">Was not measured but surface water is present and is darkly tea-coloured.  Or if no surface water, then mosses and plants that indicate peatland (e.g., Labrador tea) are prevalent. Enter "1". </v>
      </c>
      <c r="D81" s="131">
        <f>F!D226</f>
        <v>0</v>
      </c>
      <c r="E81" s="187"/>
      <c r="F81" s="187"/>
      <c r="G81" s="212"/>
      <c r="H81" s="1670"/>
      <c r="I81" s="1866"/>
    </row>
    <row r="82" spans="1:11" ht="15" customHeight="1" thickBot="1" x14ac:dyDescent="0.25">
      <c r="A82" s="1670"/>
      <c r="B82" s="1671"/>
      <c r="C82" s="1353" t="str">
        <f>F!C227</f>
        <v>Neither of above. Enter "1".</v>
      </c>
      <c r="D82" s="133">
        <f>F!D227</f>
        <v>0</v>
      </c>
      <c r="E82" s="190"/>
      <c r="F82" s="190"/>
      <c r="G82" s="214"/>
      <c r="H82" s="1671"/>
      <c r="I82" s="1867"/>
    </row>
    <row r="83" spans="1:11" ht="30.75" customHeight="1" thickBot="1" x14ac:dyDescent="0.25">
      <c r="A83" s="1669" t="str">
        <f>F!A228</f>
        <v>F48</v>
      </c>
      <c r="B83" s="1669" t="str">
        <f>F!B228</f>
        <v>TDS and/or Conductivity</v>
      </c>
      <c r="C83" s="55" t="str">
        <f>F!C228</f>
        <v>The TDS (total dissolved solids) or conductivity off the AA's surface water is: (select the first true row with information):</v>
      </c>
      <c r="D83" s="752"/>
      <c r="E83" s="191"/>
      <c r="F83" s="192"/>
      <c r="G83" s="288">
        <f>IF((D82=1),"",IF((D86=1),0, IF((D84&gt;2000),0, IF((D85&gt;4000),0,IF((D84&gt;300),1,IF((D85&gt;600),1, 0.5))))))</f>
        <v>0</v>
      </c>
      <c r="H83" s="1669" t="s">
        <v>2591</v>
      </c>
      <c r="I83" s="1865" t="s">
        <v>1570</v>
      </c>
    </row>
    <row r="84" spans="1:11" ht="18" customHeight="1" thickBot="1" x14ac:dyDescent="0.25">
      <c r="A84" s="1670"/>
      <c r="B84" s="1670"/>
      <c r="C84" s="51" t="str">
        <f>F!C229</f>
        <v>TDS is: [Enter the reading in ppm or mg/L in the column to the right, if measured, or answer next row.]</v>
      </c>
      <c r="D84" s="1434" t="str">
        <f>IF((F!D229=""),"",F!D229)</f>
        <v/>
      </c>
      <c r="E84" s="203"/>
      <c r="F84" s="187"/>
      <c r="G84" s="671"/>
      <c r="H84" s="1670"/>
      <c r="I84" s="1866"/>
    </row>
    <row r="85" spans="1:11" ht="18" customHeight="1" thickBot="1" x14ac:dyDescent="0.25">
      <c r="A85" s="1670"/>
      <c r="B85" s="1670"/>
      <c r="C85" s="413" t="str">
        <f>F!C230</f>
        <v>Conductivity is  [Enter the reading in µS/cm in the column to the right.]</v>
      </c>
      <c r="D85" s="1434" t="str">
        <f>IF((F!D230=""),"",F!D230)</f>
        <v/>
      </c>
      <c r="E85" s="203"/>
      <c r="F85" s="187"/>
      <c r="G85" s="449"/>
      <c r="H85" s="1670"/>
      <c r="I85" s="1866"/>
    </row>
    <row r="86" spans="1:11" ht="18" customHeight="1" x14ac:dyDescent="0.2">
      <c r="A86" s="1670"/>
      <c r="B86" s="1670"/>
      <c r="C86" s="244" t="str">
        <f>F!C231</f>
        <v>Was not measured, but plants that indicate saline conditions cover much of the vegetated AA. Enter "1".</v>
      </c>
      <c r="D86" s="129">
        <f>F!D231</f>
        <v>0</v>
      </c>
      <c r="E86" s="203"/>
      <c r="F86" s="187"/>
      <c r="G86" s="449"/>
      <c r="H86" s="1670"/>
      <c r="I86" s="1866"/>
    </row>
    <row r="87" spans="1:11" ht="18" customHeight="1" thickBot="1" x14ac:dyDescent="0.25">
      <c r="A87" s="1671"/>
      <c r="B87" s="1671"/>
      <c r="C87" s="242" t="str">
        <f>F!C232</f>
        <v>Neither of above</v>
      </c>
      <c r="D87" s="84">
        <f>F!D232</f>
        <v>0</v>
      </c>
      <c r="E87" s="204"/>
      <c r="F87" s="188"/>
      <c r="G87" s="450"/>
      <c r="H87" s="1671"/>
      <c r="I87" s="1867"/>
    </row>
    <row r="88" spans="1:11" s="2" customFormat="1" ht="21" customHeight="1" thickBot="1" x14ac:dyDescent="0.25">
      <c r="A88" s="1703" t="str">
        <f>F!A233</f>
        <v>F49</v>
      </c>
      <c r="B88" s="1670" t="str">
        <f>F!B233</f>
        <v>Beaver Probability</v>
      </c>
      <c r="C88" s="184" t="str">
        <f>F!C233</f>
        <v>Use of the AA by beaver during the past 5 years is (select most applicable ONE):</v>
      </c>
      <c r="D88" s="186"/>
      <c r="E88" s="186"/>
      <c r="F88" s="189"/>
      <c r="G88" s="328">
        <f>IF((AllSat1&gt;0),"",MAX(F89:F91)/MAX(E89:E91))</f>
        <v>0</v>
      </c>
      <c r="H88" s="1670" t="s">
        <v>1517</v>
      </c>
      <c r="I88" s="1865" t="s">
        <v>1571</v>
      </c>
      <c r="K88" s="56"/>
    </row>
    <row r="89" spans="1:11" s="2" customFormat="1" ht="27" customHeight="1" x14ac:dyDescent="0.2">
      <c r="A89" s="1703"/>
      <c r="B89" s="1670"/>
      <c r="C89" s="243" t="str">
        <f>F!C234</f>
        <v>Evident from direct observation or presence of gnawed limbs, dams, tracks, dens, lodges, or extensive stands of water-killed trees (snags).</v>
      </c>
      <c r="D89" s="129">
        <f>F!D234</f>
        <v>0</v>
      </c>
      <c r="E89" s="187">
        <v>3</v>
      </c>
      <c r="F89" s="187">
        <f>D89*E89</f>
        <v>0</v>
      </c>
      <c r="G89" s="383"/>
      <c r="H89" s="1670"/>
      <c r="I89" s="1866"/>
      <c r="K89" s="56"/>
    </row>
    <row r="90" spans="1:11" s="2" customFormat="1" ht="42" customHeight="1" x14ac:dyDescent="0.2">
      <c r="A90" s="1703"/>
      <c r="B90" s="1670"/>
      <c r="C90" s="244" t="str">
        <f>F!C235</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90" s="33">
        <f>F!D235</f>
        <v>0</v>
      </c>
      <c r="E90" s="187">
        <v>2</v>
      </c>
      <c r="F90" s="187">
        <f>D90*E90</f>
        <v>0</v>
      </c>
      <c r="G90" s="384"/>
      <c r="H90" s="1670"/>
      <c r="I90" s="1866"/>
      <c r="K90" s="56"/>
    </row>
    <row r="91" spans="1:11" s="2" customFormat="1" ht="27" customHeight="1" thickBot="1" x14ac:dyDescent="0.25">
      <c r="A91" s="1703"/>
      <c r="B91" s="1670"/>
      <c r="C91" s="244" t="str">
        <f>F!C236</f>
        <v xml:space="preserve">Unlikely because site characteristics above are deficient, and/or this is a settled area or other area where beaver are routinely removed. </v>
      </c>
      <c r="D91" s="33">
        <f>F!D236</f>
        <v>0</v>
      </c>
      <c r="E91" s="187">
        <v>0</v>
      </c>
      <c r="F91" s="187">
        <f>D91*E91</f>
        <v>0</v>
      </c>
      <c r="G91" s="384"/>
      <c r="H91" s="1670"/>
      <c r="I91" s="1867"/>
      <c r="K91" s="56"/>
    </row>
    <row r="92" spans="1:11" s="2" customFormat="1" ht="21" customHeight="1" thickBot="1" x14ac:dyDescent="0.25">
      <c r="A92" s="1721" t="str">
        <f>F!A237</f>
        <v>F50</v>
      </c>
      <c r="B92" s="1669" t="str">
        <f>F!B237</f>
        <v>Groundwater Strength of Evidence</v>
      </c>
      <c r="C92" s="55" t="str">
        <f>F!C237</f>
        <v>Select first applicable choice:</v>
      </c>
      <c r="D92" s="191"/>
      <c r="E92" s="191"/>
      <c r="F92" s="192"/>
      <c r="G92" s="327">
        <f>MAX(F93:F95)/MAX(E93:E95)</f>
        <v>0</v>
      </c>
      <c r="H92" s="1669" t="s">
        <v>1403</v>
      </c>
      <c r="I92" s="1865" t="s">
        <v>156</v>
      </c>
      <c r="K92" s="56"/>
    </row>
    <row r="93" spans="1:11" s="2" customFormat="1" ht="42" customHeight="1" x14ac:dyDescent="0.2">
      <c r="A93" s="1703"/>
      <c r="B93" s="1670"/>
      <c r="C93" s="243"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93" s="129">
        <f>F!D238</f>
        <v>0</v>
      </c>
      <c r="E93" s="187">
        <v>2</v>
      </c>
      <c r="F93" s="187">
        <f>D93*E93</f>
        <v>0</v>
      </c>
      <c r="G93" s="383"/>
      <c r="H93" s="1670"/>
      <c r="I93" s="1866"/>
      <c r="K93" s="56"/>
    </row>
    <row r="94" spans="1:11" s="2" customFormat="1" ht="27" customHeight="1" x14ac:dyDescent="0.2">
      <c r="A94" s="1703"/>
      <c r="B94" s="1670"/>
      <c r="C94" s="244" t="str">
        <f>F!C239</f>
        <v>Most of the AA has a slope of &gt;5%, or is very close to the base of a natural slope longer than 100 and much steeper than the slope of the AA,  AND the pH of surface water, if known, is &gt;5.5.</v>
      </c>
      <c r="D94" s="33">
        <f>F!D239</f>
        <v>0</v>
      </c>
      <c r="E94" s="187">
        <v>1</v>
      </c>
      <c r="F94" s="187">
        <f>D94*E94</f>
        <v>0</v>
      </c>
      <c r="G94" s="383"/>
      <c r="H94" s="1670"/>
      <c r="I94" s="1866"/>
      <c r="K94" s="56"/>
    </row>
    <row r="95" spans="1:11" s="2" customFormat="1" ht="27" customHeight="1" thickBot="1" x14ac:dyDescent="0.25">
      <c r="A95" s="1722"/>
      <c r="B95" s="1671"/>
      <c r="C95" s="242" t="str">
        <f>F!C240</f>
        <v>Neither of above is true, although some groundwater may discharge to or flow through the AA. Or groundwater influx is unknown.</v>
      </c>
      <c r="D95" s="84">
        <f>F!D240</f>
        <v>0</v>
      </c>
      <c r="E95" s="188">
        <v>0</v>
      </c>
      <c r="F95" s="188">
        <f>D95*E95</f>
        <v>0</v>
      </c>
      <c r="G95" s="432"/>
      <c r="H95" s="1671"/>
      <c r="I95" s="1867"/>
      <c r="K95" s="56"/>
    </row>
    <row r="96" spans="1:11" ht="45" customHeight="1" thickBot="1" x14ac:dyDescent="0.25">
      <c r="A96" s="1670" t="str">
        <f>F!A247</f>
        <v>F52</v>
      </c>
      <c r="B96" s="1670" t="str">
        <f>F!B247</f>
        <v>Vegetated Buffer as % of Perimeter</v>
      </c>
      <c r="C96" s="245" t="str">
        <f>F!C247</f>
        <v>Within a zone extending 30 m laterally from the AA's edge with upland and/or other wetlands, the percentage that contains perennial vegetation cover (except lawns, row crops, heavily grazed land, conifer plantations) is:</v>
      </c>
      <c r="D96" s="186"/>
      <c r="E96" s="186"/>
      <c r="F96" s="208"/>
      <c r="G96" s="328">
        <f>MAX(F97:F101)/MAX(E97:E101)</f>
        <v>0</v>
      </c>
      <c r="H96" s="1696" t="s">
        <v>1348</v>
      </c>
      <c r="I96" s="1669" t="s">
        <v>2855</v>
      </c>
    </row>
    <row r="97" spans="1:9" ht="15" customHeight="1" x14ac:dyDescent="0.2">
      <c r="A97" s="1670"/>
      <c r="B97" s="1670"/>
      <c r="C97" s="901" t="str">
        <f>F!C248</f>
        <v>&lt;5%.</v>
      </c>
      <c r="D97" s="128">
        <f>F!D248</f>
        <v>0</v>
      </c>
      <c r="E97" s="203">
        <v>0</v>
      </c>
      <c r="F97" s="187">
        <f>D97*E97</f>
        <v>0</v>
      </c>
      <c r="G97" s="292"/>
      <c r="H97" s="1696"/>
      <c r="I97" s="1670"/>
    </row>
    <row r="98" spans="1:9" ht="15" customHeight="1" x14ac:dyDescent="0.2">
      <c r="A98" s="1670"/>
      <c r="B98" s="1670"/>
      <c r="C98" s="628" t="str">
        <f>F!C249</f>
        <v>5 to 30%.</v>
      </c>
      <c r="D98" s="33">
        <f>F!D249</f>
        <v>0</v>
      </c>
      <c r="E98" s="203">
        <v>2</v>
      </c>
      <c r="F98" s="187">
        <f>D98*E98</f>
        <v>0</v>
      </c>
      <c r="G98" s="293"/>
      <c r="H98" s="1696"/>
      <c r="I98" s="1670"/>
    </row>
    <row r="99" spans="1:9" ht="15" customHeight="1" x14ac:dyDescent="0.2">
      <c r="A99" s="1670"/>
      <c r="B99" s="1670"/>
      <c r="C99" s="812" t="str">
        <f>F!C250</f>
        <v>30 to 60%.</v>
      </c>
      <c r="D99" s="33">
        <f>F!D250</f>
        <v>0</v>
      </c>
      <c r="E99" s="203">
        <v>3</v>
      </c>
      <c r="F99" s="187">
        <f>D99*E99</f>
        <v>0</v>
      </c>
      <c r="G99" s="293"/>
      <c r="H99" s="1696"/>
      <c r="I99" s="1670"/>
    </row>
    <row r="100" spans="1:9" ht="15" customHeight="1" x14ac:dyDescent="0.2">
      <c r="A100" s="1670"/>
      <c r="B100" s="1670"/>
      <c r="C100" s="811" t="str">
        <f>F!C251</f>
        <v>60 to 90%.</v>
      </c>
      <c r="D100" s="129">
        <f>F!D251</f>
        <v>0</v>
      </c>
      <c r="E100" s="203">
        <v>4</v>
      </c>
      <c r="F100" s="187">
        <f>D100*E100</f>
        <v>0</v>
      </c>
      <c r="G100" s="293"/>
      <c r="H100" s="1696"/>
      <c r="I100" s="1670"/>
    </row>
    <row r="101" spans="1:9" ht="15" customHeight="1" thickBot="1" x14ac:dyDescent="0.25">
      <c r="A101" s="1670"/>
      <c r="B101" s="1670"/>
      <c r="C101" s="677" t="str">
        <f>F!C252</f>
        <v>&gt;90%, or all the area within 30 m of the AA edge is other wetlands. SKIP to F55.</v>
      </c>
      <c r="D101" s="151">
        <f>F!D252</f>
        <v>0</v>
      </c>
      <c r="E101" s="321">
        <v>6</v>
      </c>
      <c r="F101" s="190">
        <f>D101*E101</f>
        <v>0</v>
      </c>
      <c r="G101" s="302"/>
      <c r="H101" s="1696"/>
      <c r="I101" s="1671"/>
    </row>
    <row r="102" spans="1:9" ht="53.25" customHeight="1" thickBot="1" x14ac:dyDescent="0.25">
      <c r="A102" s="173" t="str">
        <f>S!A3</f>
        <v>S1</v>
      </c>
      <c r="B102" s="70" t="str">
        <f>S!B3</f>
        <v>Aberrant Timing of Water Inputs</v>
      </c>
      <c r="C102" s="697" t="s">
        <v>2588</v>
      </c>
      <c r="D102" s="121">
        <f>S!F24</f>
        <v>0</v>
      </c>
      <c r="E102" s="210"/>
      <c r="F102" s="199"/>
      <c r="G102" s="327" t="str">
        <f>IF((Inflows=0),"", 1-D102)</f>
        <v/>
      </c>
      <c r="H102" s="3" t="s">
        <v>1198</v>
      </c>
      <c r="I102" s="894" t="s">
        <v>147</v>
      </c>
    </row>
    <row r="103" spans="1:9" ht="54" customHeight="1" thickBot="1" x14ac:dyDescent="0.25">
      <c r="A103" s="70" t="str">
        <f>S!A51</f>
        <v>S4</v>
      </c>
      <c r="B103" s="70" t="str">
        <f>S!B51</f>
        <v>Excessive Sediment Loading from Contributing Area</v>
      </c>
      <c r="C103" s="697" t="s">
        <v>2588</v>
      </c>
      <c r="D103" s="121">
        <f>S!F68</f>
        <v>0</v>
      </c>
      <c r="E103" s="210"/>
      <c r="F103" s="210"/>
      <c r="G103" s="1435">
        <f>1-D103</f>
        <v>1</v>
      </c>
      <c r="H103" s="36" t="s">
        <v>1455</v>
      </c>
      <c r="I103" s="3" t="s">
        <v>2856</v>
      </c>
    </row>
    <row r="104" spans="1:9" s="58" customFormat="1" ht="36" customHeight="1" thickBot="1" x14ac:dyDescent="0.25">
      <c r="A104" s="871" t="s">
        <v>88</v>
      </c>
      <c r="B104" s="872" t="s">
        <v>2432</v>
      </c>
      <c r="C104" s="873" t="s">
        <v>1164</v>
      </c>
      <c r="D104" s="874" t="s">
        <v>45</v>
      </c>
      <c r="E104" s="875" t="s">
        <v>1188</v>
      </c>
      <c r="F104" s="876" t="s">
        <v>1189</v>
      </c>
      <c r="G104" s="877" t="s">
        <v>2558</v>
      </c>
      <c r="H104" s="872" t="s">
        <v>1117</v>
      </c>
      <c r="I104" s="943" t="s">
        <v>2427</v>
      </c>
    </row>
    <row r="105" spans="1:9" ht="21" customHeight="1" thickBot="1" x14ac:dyDescent="0.25">
      <c r="A105" s="1721" t="str">
        <f>OF!A50</f>
        <v>OF10</v>
      </c>
      <c r="B105" s="1669" t="str">
        <f>OF!B50</f>
        <v>Distance by Road to Nearest Population Center</v>
      </c>
      <c r="C105" s="240" t="str">
        <f>OF!C50</f>
        <v>Measured along the maintained road nearest the AA, the distance to the nearest population center is:</v>
      </c>
      <c r="D105" s="191"/>
      <c r="E105" s="290"/>
      <c r="F105" s="192"/>
      <c r="G105" s="310">
        <f>MAX(F106:F110)/MAX(E106:E110)</f>
        <v>0</v>
      </c>
      <c r="H105" s="1669" t="s">
        <v>1096</v>
      </c>
      <c r="I105" s="1865" t="s">
        <v>148</v>
      </c>
    </row>
    <row r="106" spans="1:9" ht="15" customHeight="1" x14ac:dyDescent="0.2">
      <c r="A106" s="1703"/>
      <c r="B106" s="1670"/>
      <c r="C106" s="14" t="str">
        <f>OF!C51</f>
        <v>&lt;100 m.</v>
      </c>
      <c r="D106" s="129">
        <f>OF!D51</f>
        <v>0</v>
      </c>
      <c r="E106" s="211">
        <v>5</v>
      </c>
      <c r="F106" s="187">
        <f t="shared" ref="F106:F117" si="3">D106*E106</f>
        <v>0</v>
      </c>
      <c r="G106" s="292"/>
      <c r="H106" s="1670"/>
      <c r="I106" s="1866"/>
    </row>
    <row r="107" spans="1:9" ht="15" customHeight="1" x14ac:dyDescent="0.2">
      <c r="A107" s="1703"/>
      <c r="B107" s="1670"/>
      <c r="C107" s="4" t="str">
        <f>OF!C52</f>
        <v>100 - 500 m.</v>
      </c>
      <c r="D107" s="33">
        <f>OF!D52</f>
        <v>0</v>
      </c>
      <c r="E107" s="211">
        <v>3</v>
      </c>
      <c r="F107" s="187">
        <f t="shared" si="3"/>
        <v>0</v>
      </c>
      <c r="G107" s="293"/>
      <c r="H107" s="1670"/>
      <c r="I107" s="1866"/>
    </row>
    <row r="108" spans="1:9" ht="15" customHeight="1" x14ac:dyDescent="0.2">
      <c r="A108" s="1703"/>
      <c r="B108" s="1670"/>
      <c r="C108" s="4" t="str">
        <f>OF!C53</f>
        <v>0.5- 1 km.</v>
      </c>
      <c r="D108" s="33">
        <f>OF!D53</f>
        <v>0</v>
      </c>
      <c r="E108" s="211">
        <v>2</v>
      </c>
      <c r="F108" s="187">
        <f t="shared" si="3"/>
        <v>0</v>
      </c>
      <c r="G108" s="293"/>
      <c r="H108" s="1670"/>
      <c r="I108" s="1866"/>
    </row>
    <row r="109" spans="1:9" ht="15" customHeight="1" x14ac:dyDescent="0.2">
      <c r="A109" s="1703"/>
      <c r="B109" s="1670"/>
      <c r="C109" s="4" t="str">
        <f>OF!C54</f>
        <v>1 - 5 km.</v>
      </c>
      <c r="D109" s="33">
        <f>OF!D54</f>
        <v>0</v>
      </c>
      <c r="E109" s="211">
        <v>1</v>
      </c>
      <c r="F109" s="187">
        <f t="shared" si="3"/>
        <v>0</v>
      </c>
      <c r="G109" s="293"/>
      <c r="H109" s="1670"/>
      <c r="I109" s="1866"/>
    </row>
    <row r="110" spans="1:9" ht="15" customHeight="1" thickBot="1" x14ac:dyDescent="0.25">
      <c r="A110" s="1722"/>
      <c r="B110" s="1671"/>
      <c r="C110" s="85" t="str">
        <f>OF!C55</f>
        <v>&gt;5 km.</v>
      </c>
      <c r="D110" s="84">
        <f>OF!D55</f>
        <v>0</v>
      </c>
      <c r="E110" s="215">
        <v>0</v>
      </c>
      <c r="F110" s="216">
        <f t="shared" si="3"/>
        <v>0</v>
      </c>
      <c r="G110" s="294"/>
      <c r="H110" s="1671"/>
      <c r="I110" s="1867"/>
    </row>
    <row r="111" spans="1:9" ht="21" customHeight="1" thickBot="1" x14ac:dyDescent="0.25">
      <c r="A111" s="1703" t="str">
        <f>OF!A56</f>
        <v>OF11</v>
      </c>
      <c r="B111" s="1670" t="str">
        <f>OF!B56</f>
        <v>Distance to Nearest Maintained Road</v>
      </c>
      <c r="C111" s="245" t="str">
        <f>OF!C56</f>
        <v>From the center of the AA, the distance to the nearest maintained public road (dirt or paved) is:</v>
      </c>
      <c r="D111" s="186"/>
      <c r="E111" s="421"/>
      <c r="F111" s="189"/>
      <c r="G111" s="304">
        <f>MAX(F112:F117)/MAX(E112:E117)</f>
        <v>0</v>
      </c>
      <c r="H111" s="1670" t="s">
        <v>1097</v>
      </c>
      <c r="I111" s="1865" t="s">
        <v>1027</v>
      </c>
    </row>
    <row r="112" spans="1:9" ht="15" customHeight="1" x14ac:dyDescent="0.2">
      <c r="A112" s="1703"/>
      <c r="B112" s="1670"/>
      <c r="C112" s="222" t="str">
        <f>OF!C57</f>
        <v>&lt;10 m.</v>
      </c>
      <c r="D112" s="183">
        <f>OF!D57</f>
        <v>0</v>
      </c>
      <c r="E112" s="213">
        <v>5</v>
      </c>
      <c r="F112" s="212">
        <f t="shared" si="3"/>
        <v>0</v>
      </c>
      <c r="G112" s="293"/>
      <c r="H112" s="1670"/>
      <c r="I112" s="1866"/>
    </row>
    <row r="113" spans="1:9" ht="15" customHeight="1" x14ac:dyDescent="0.2">
      <c r="A113" s="1703"/>
      <c r="B113" s="1670"/>
      <c r="C113" s="241" t="str">
        <f>OF!C58</f>
        <v>10 - 25 m.</v>
      </c>
      <c r="D113" s="128">
        <f>OF!D58</f>
        <v>0</v>
      </c>
      <c r="E113" s="213">
        <v>4</v>
      </c>
      <c r="F113" s="212">
        <f t="shared" si="3"/>
        <v>0</v>
      </c>
      <c r="G113" s="293"/>
      <c r="H113" s="1670"/>
      <c r="I113" s="1866"/>
    </row>
    <row r="114" spans="1:9" ht="15" customHeight="1" x14ac:dyDescent="0.2">
      <c r="A114" s="1703"/>
      <c r="B114" s="1670"/>
      <c r="C114" s="241" t="str">
        <f>OF!C59</f>
        <v>25 - 50 m.</v>
      </c>
      <c r="D114" s="128">
        <f>OF!D59</f>
        <v>0</v>
      </c>
      <c r="E114" s="213">
        <v>3</v>
      </c>
      <c r="F114" s="212">
        <f t="shared" si="3"/>
        <v>0</v>
      </c>
      <c r="G114" s="293"/>
      <c r="H114" s="1670"/>
      <c r="I114" s="1866"/>
    </row>
    <row r="115" spans="1:9" ht="15" customHeight="1" x14ac:dyDescent="0.2">
      <c r="A115" s="1703"/>
      <c r="B115" s="1670"/>
      <c r="C115" s="241" t="str">
        <f>OF!C60</f>
        <v>50 - 100 m.</v>
      </c>
      <c r="D115" s="128">
        <f>OF!D60</f>
        <v>0</v>
      </c>
      <c r="E115" s="213">
        <v>2</v>
      </c>
      <c r="F115" s="212">
        <f t="shared" si="3"/>
        <v>0</v>
      </c>
      <c r="G115" s="293"/>
      <c r="H115" s="1670"/>
      <c r="I115" s="1866"/>
    </row>
    <row r="116" spans="1:9" ht="15" customHeight="1" x14ac:dyDescent="0.2">
      <c r="A116" s="1703"/>
      <c r="B116" s="1670"/>
      <c r="C116" s="241" t="str">
        <f>OF!C61</f>
        <v>100 - 500 m.</v>
      </c>
      <c r="D116" s="128">
        <f>OF!D61</f>
        <v>0</v>
      </c>
      <c r="E116" s="213">
        <v>1</v>
      </c>
      <c r="F116" s="212">
        <f t="shared" si="3"/>
        <v>0</v>
      </c>
      <c r="G116" s="293"/>
      <c r="H116" s="1670"/>
      <c r="I116" s="1866"/>
    </row>
    <row r="117" spans="1:9" ht="15" customHeight="1" thickBot="1" x14ac:dyDescent="0.25">
      <c r="A117" s="1722"/>
      <c r="B117" s="1671"/>
      <c r="C117" s="85" t="str">
        <f>OF!C62</f>
        <v>&gt;500 m.</v>
      </c>
      <c r="D117" s="84">
        <f>OF!D62</f>
        <v>0</v>
      </c>
      <c r="E117" s="215">
        <v>0</v>
      </c>
      <c r="F117" s="216">
        <f t="shared" si="3"/>
        <v>0</v>
      </c>
      <c r="G117" s="294"/>
      <c r="H117" s="1671"/>
      <c r="I117" s="1867"/>
    </row>
    <row r="118" spans="1:9" ht="68.25" customHeight="1" thickBot="1" x14ac:dyDescent="0.25">
      <c r="A118" s="1670" t="str">
        <f>F!A282</f>
        <v>F60</v>
      </c>
      <c r="B118" s="1670" t="str">
        <f>F!B282</f>
        <v xml:space="preserve">Unvisited Core Area </v>
      </c>
      <c r="C118" s="245" t="str">
        <f>F!C282</f>
        <v>The percentage of the AA almost never visited by humans during an average growing season probably comprises: [Note: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v>
      </c>
      <c r="D118" s="186"/>
      <c r="E118" s="429"/>
      <c r="F118" s="186"/>
      <c r="G118" s="304">
        <f>MAX(F119:F124)/MAX(E119:E124)</f>
        <v>0</v>
      </c>
      <c r="H118" s="1670" t="s">
        <v>1098</v>
      </c>
      <c r="I118" s="1865" t="s">
        <v>1028</v>
      </c>
    </row>
    <row r="119" spans="1:9" ht="15" customHeight="1" x14ac:dyDescent="0.2">
      <c r="A119" s="1670"/>
      <c r="B119" s="1670"/>
      <c r="C119" s="901" t="str">
        <f>F!C283</f>
        <v>&lt;5% and no inhabited building is within 100 m of the AA.</v>
      </c>
      <c r="D119" s="128">
        <f>F!D283</f>
        <v>0</v>
      </c>
      <c r="E119" s="672">
        <v>3</v>
      </c>
      <c r="F119" s="187">
        <f t="shared" ref="F119:F124" si="4">D119*E119</f>
        <v>0</v>
      </c>
      <c r="G119" s="293"/>
      <c r="H119" s="1670"/>
      <c r="I119" s="1866"/>
    </row>
    <row r="120" spans="1:9" ht="15" customHeight="1" x14ac:dyDescent="0.2">
      <c r="A120" s="1670"/>
      <c r="B120" s="1670"/>
      <c r="C120" s="811" t="str">
        <f>F!C284</f>
        <v>&lt;5% and inhabited building is within 100 m of the AA.</v>
      </c>
      <c r="D120" s="33">
        <f>F!D284</f>
        <v>0</v>
      </c>
      <c r="E120" s="672">
        <v>3</v>
      </c>
      <c r="F120" s="187">
        <f t="shared" si="4"/>
        <v>0</v>
      </c>
      <c r="G120" s="293"/>
      <c r="H120" s="1670"/>
      <c r="I120" s="1866"/>
    </row>
    <row r="121" spans="1:9" ht="15" customHeight="1" x14ac:dyDescent="0.2">
      <c r="A121" s="1670"/>
      <c r="B121" s="1670"/>
      <c r="C121" s="628" t="str">
        <f>F!C285</f>
        <v>5-50% and no inhabited building is within 100 m of the AA.</v>
      </c>
      <c r="D121" s="183">
        <f>F!D285</f>
        <v>0</v>
      </c>
      <c r="E121" s="672">
        <v>2</v>
      </c>
      <c r="F121" s="187">
        <f t="shared" si="4"/>
        <v>0</v>
      </c>
      <c r="G121" s="293"/>
      <c r="H121" s="1670"/>
      <c r="I121" s="1866"/>
    </row>
    <row r="122" spans="1:9" ht="15" customHeight="1" x14ac:dyDescent="0.2">
      <c r="A122" s="1670"/>
      <c r="B122" s="1670"/>
      <c r="C122" s="628" t="str">
        <f>F!C286</f>
        <v>5-50% and inhabited building is within 100 m of the AA.</v>
      </c>
      <c r="D122" s="33">
        <f>F!D286</f>
        <v>0</v>
      </c>
      <c r="E122" s="672">
        <v>2</v>
      </c>
      <c r="F122" s="187">
        <f t="shared" si="4"/>
        <v>0</v>
      </c>
      <c r="G122" s="293"/>
      <c r="H122" s="1670"/>
      <c r="I122" s="1866"/>
    </row>
    <row r="123" spans="1:9" ht="15" customHeight="1" x14ac:dyDescent="0.2">
      <c r="A123" s="1670"/>
      <c r="B123" s="1670"/>
      <c r="C123" s="812" t="str">
        <f>F!C287</f>
        <v>50-95%, with or without inhabited building nearby.</v>
      </c>
      <c r="D123" s="183">
        <f>F!D287</f>
        <v>0</v>
      </c>
      <c r="E123" s="672">
        <v>1</v>
      </c>
      <c r="F123" s="187">
        <f t="shared" si="4"/>
        <v>0</v>
      </c>
      <c r="G123" s="293"/>
      <c r="H123" s="1670"/>
      <c r="I123" s="1866"/>
    </row>
    <row r="124" spans="1:9" ht="15" customHeight="1" thickBot="1" x14ac:dyDescent="0.25">
      <c r="A124" s="1671"/>
      <c r="B124" s="1671"/>
      <c r="C124" s="677" t="str">
        <f>F!C288</f>
        <v>&gt;95% of the AA with or without inhabited building nearby.</v>
      </c>
      <c r="D124" s="84">
        <f>F!D288</f>
        <v>0</v>
      </c>
      <c r="E124" s="707">
        <v>0</v>
      </c>
      <c r="F124" s="188">
        <f t="shared" si="4"/>
        <v>0</v>
      </c>
      <c r="G124" s="294"/>
      <c r="H124" s="1671"/>
      <c r="I124" s="1867"/>
    </row>
    <row r="125" spans="1:9" ht="30" customHeight="1" thickBot="1" x14ac:dyDescent="0.25">
      <c r="A125" s="68" t="str">
        <f>F!A296</f>
        <v>F64</v>
      </c>
      <c r="B125" s="68" t="str">
        <f>F!B296</f>
        <v xml:space="preserve">Consumptive Uses (Provisioning Services)  </v>
      </c>
      <c r="C125" s="649" t="str">
        <f>F!C300</f>
        <v>Fishing.</v>
      </c>
      <c r="D125" s="613">
        <f>FA!D142</f>
        <v>0</v>
      </c>
      <c r="E125" s="219"/>
      <c r="F125" s="200"/>
      <c r="G125" s="1436">
        <f>D125</f>
        <v>0</v>
      </c>
      <c r="H125" s="68" t="s">
        <v>39</v>
      </c>
      <c r="I125" s="894" t="s">
        <v>1668</v>
      </c>
    </row>
    <row r="126" spans="1:9" ht="39" customHeight="1" thickBot="1" x14ac:dyDescent="0.25">
      <c r="A126" s="3"/>
      <c r="B126" s="53" t="str">
        <f>WBF!C171</f>
        <v>Function Score for Feeding Waterbird Habitat</v>
      </c>
      <c r="C126" s="428"/>
      <c r="D126" s="1131">
        <f>WBF!G171</f>
        <v>0.55555555555555547</v>
      </c>
      <c r="E126" s="220"/>
      <c r="F126" s="199"/>
      <c r="G126" s="1436">
        <f>D126/10</f>
        <v>5.5555555555555546E-2</v>
      </c>
      <c r="H126" s="3" t="s">
        <v>40</v>
      </c>
      <c r="I126" s="3" t="s">
        <v>2857</v>
      </c>
    </row>
    <row r="127" spans="1:9" ht="21" customHeight="1" thickBot="1" x14ac:dyDescent="0.25">
      <c r="A127" s="1859"/>
      <c r="B127" s="1859"/>
      <c r="C127" s="1859"/>
      <c r="D127" s="1859"/>
      <c r="E127" s="1859"/>
      <c r="F127" s="1859"/>
      <c r="G127" s="1859"/>
      <c r="H127" s="1859"/>
    </row>
    <row r="128" spans="1:9" ht="21" customHeight="1" x14ac:dyDescent="0.2">
      <c r="A128" s="1841"/>
      <c r="B128" s="1841"/>
      <c r="C128" s="1841"/>
      <c r="D128" s="1998" t="s">
        <v>613</v>
      </c>
      <c r="E128" s="1999"/>
      <c r="F128" s="1999"/>
      <c r="G128" s="932">
        <f>AVERAGE(SatPct10,Depth10,DepthEven10,PermWpct10,Interspers10,ThruFlo10)</f>
        <v>0</v>
      </c>
      <c r="H128" s="1029" t="s">
        <v>2071</v>
      </c>
      <c r="I128" s="1431" t="s">
        <v>2132</v>
      </c>
    </row>
    <row r="129" spans="1:10" ht="21" customHeight="1" x14ac:dyDescent="0.2">
      <c r="A129" s="1841"/>
      <c r="B129" s="1841"/>
      <c r="C129" s="1841"/>
      <c r="D129" s="1988" t="s">
        <v>121</v>
      </c>
      <c r="E129" s="1989"/>
      <c r="F129" s="1989"/>
      <c r="G129" s="933">
        <f>IF((AllSat1=1),"", AVERAGE(Beaver10,AVERAGE(Wettype10,WoodAbove10, ABpct10)))</f>
        <v>0</v>
      </c>
      <c r="H129" s="1016" t="s">
        <v>2072</v>
      </c>
      <c r="I129" s="1432" t="s">
        <v>2133</v>
      </c>
    </row>
    <row r="130" spans="1:10" ht="28.5" customHeight="1" x14ac:dyDescent="0.2">
      <c r="A130" s="1841"/>
      <c r="B130" s="1841"/>
      <c r="C130" s="1841"/>
      <c r="D130" s="1988" t="s">
        <v>149</v>
      </c>
      <c r="E130" s="1989"/>
      <c r="F130" s="1989"/>
      <c r="G130" s="933">
        <f>AVERAGE(Groundw10, Wettype10,Nfix10,Karst10a,Lake10a)</f>
        <v>0</v>
      </c>
      <c r="H130" s="1016" t="s">
        <v>2073</v>
      </c>
      <c r="I130" s="1432" t="s">
        <v>2134</v>
      </c>
    </row>
    <row r="131" spans="1:10" ht="21" customHeight="1" x14ac:dyDescent="0.2">
      <c r="A131" s="1841"/>
      <c r="B131" s="1841"/>
      <c r="C131" s="1841"/>
      <c r="D131" s="1988" t="s">
        <v>158</v>
      </c>
      <c r="E131" s="1989"/>
      <c r="F131" s="1989"/>
      <c r="G131" s="933">
        <f>IF((AllSat1=1),"",AVERAGE(OutDura10,Depth10, warmth10))</f>
        <v>0</v>
      </c>
      <c r="H131" s="1016" t="s">
        <v>2190</v>
      </c>
      <c r="I131" s="1432" t="s">
        <v>2135</v>
      </c>
    </row>
    <row r="132" spans="1:10" ht="21" customHeight="1" thickBot="1" x14ac:dyDescent="0.25">
      <c r="A132" s="1841"/>
      <c r="B132" s="1841"/>
      <c r="C132" s="1841"/>
      <c r="D132" s="1990" t="s">
        <v>451</v>
      </c>
      <c r="E132" s="1991"/>
      <c r="F132" s="1991"/>
      <c r="G132" s="934">
        <f>MIN(SedExcess10,AcidicPool10,Conduc10,AltTime10,ToxData10,1-NatVegCUpct10)</f>
        <v>0</v>
      </c>
      <c r="H132" s="1032" t="s">
        <v>2462</v>
      </c>
      <c r="I132" s="1433" t="s">
        <v>2136</v>
      </c>
    </row>
    <row r="133" spans="1:10" ht="21" customHeight="1" thickBot="1" x14ac:dyDescent="0.25">
      <c r="A133" s="1841"/>
      <c r="B133" s="1841"/>
      <c r="C133" s="1841"/>
      <c r="D133" s="1992"/>
      <c r="E133" s="1992"/>
      <c r="F133" s="1992"/>
      <c r="G133" s="1992"/>
      <c r="H133" s="1870"/>
      <c r="J133" s="11"/>
    </row>
    <row r="134" spans="1:10" ht="45" customHeight="1" thickBot="1" x14ac:dyDescent="0.25">
      <c r="A134" s="1870"/>
      <c r="B134" s="1993"/>
      <c r="C134" s="1838" t="s">
        <v>911</v>
      </c>
      <c r="D134" s="1839"/>
      <c r="E134" s="1840"/>
      <c r="F134" s="859" t="s">
        <v>52</v>
      </c>
      <c r="G134" s="925">
        <f>IF((Access10=0),0,IF((AllSat1=1),0,10*AVERAGE(Hydro10,Struc10,Produc10,AnoxRisk10,Stress10)))</f>
        <v>0</v>
      </c>
      <c r="H134" s="1807" t="s">
        <v>2455</v>
      </c>
      <c r="I134" s="1808"/>
      <c r="J134" s="12"/>
    </row>
    <row r="135" spans="1:10" ht="30" customHeight="1" thickBot="1" x14ac:dyDescent="0.25">
      <c r="A135" s="1870"/>
      <c r="B135" s="1993"/>
      <c r="C135" s="1838" t="s">
        <v>1912</v>
      </c>
      <c r="D135" s="1839"/>
      <c r="E135" s="1840"/>
      <c r="F135" s="1046" t="s">
        <v>2223</v>
      </c>
      <c r="G135" s="926">
        <f>10*(AVERAGE(Fishing10,PopDist10, WbirdFeed10, DistRd10,Core10))</f>
        <v>0.1111111111111111</v>
      </c>
      <c r="H135" s="1807" t="s">
        <v>2225</v>
      </c>
      <c r="I135" s="1808"/>
    </row>
    <row r="136" spans="1:10" ht="21" customHeight="1" thickBot="1" x14ac:dyDescent="0.25">
      <c r="A136" s="1870"/>
      <c r="B136" s="1870"/>
      <c r="C136" s="1870"/>
      <c r="D136" s="1870"/>
      <c r="E136" s="1870"/>
      <c r="F136" s="1870"/>
      <c r="G136" s="1870"/>
      <c r="H136" s="1870"/>
    </row>
    <row r="137" spans="1:10" ht="21" customHeight="1" thickBot="1" x14ac:dyDescent="0.25">
      <c r="B137" s="5"/>
      <c r="C137" s="5"/>
      <c r="D137" s="5"/>
      <c r="E137" s="5"/>
      <c r="F137" s="5"/>
      <c r="G137" s="706"/>
      <c r="H137" s="1913" t="s">
        <v>669</v>
      </c>
      <c r="I137" s="1914"/>
    </row>
    <row r="138" spans="1:10" ht="42" customHeight="1" x14ac:dyDescent="0.2">
      <c r="B138" s="5"/>
      <c r="C138" s="5"/>
      <c r="D138" s="5"/>
      <c r="E138" s="5"/>
      <c r="F138" s="5"/>
      <c r="G138" s="5"/>
      <c r="H138" s="1966" t="s">
        <v>1345</v>
      </c>
      <c r="I138" s="1967"/>
    </row>
    <row r="139" spans="1:10" ht="42" customHeight="1" x14ac:dyDescent="0.2">
      <c r="B139" s="5"/>
      <c r="C139" s="5"/>
      <c r="D139" s="5"/>
      <c r="E139" s="5"/>
      <c r="F139" s="5"/>
      <c r="G139" s="5"/>
      <c r="H139" s="1792" t="s">
        <v>820</v>
      </c>
      <c r="I139" s="1793"/>
    </row>
    <row r="140" spans="1:10" ht="27" customHeight="1" x14ac:dyDescent="0.2">
      <c r="B140" s="5"/>
      <c r="C140" s="5"/>
      <c r="D140" s="5"/>
      <c r="E140" s="5"/>
      <c r="F140" s="5"/>
      <c r="G140" s="5"/>
      <c r="H140" s="1792" t="s">
        <v>806</v>
      </c>
      <c r="I140" s="1793"/>
    </row>
    <row r="141" spans="1:10" ht="27" customHeight="1" x14ac:dyDescent="0.2">
      <c r="B141" s="5"/>
      <c r="C141" s="5"/>
      <c r="D141" s="5"/>
      <c r="E141" s="5"/>
      <c r="F141" s="5"/>
      <c r="G141" s="5"/>
      <c r="H141" s="1792" t="s">
        <v>1736</v>
      </c>
      <c r="I141" s="1793"/>
    </row>
    <row r="142" spans="1:10" ht="42" customHeight="1" x14ac:dyDescent="0.2">
      <c r="B142" s="5"/>
      <c r="C142" s="5"/>
      <c r="D142" s="5"/>
      <c r="E142" s="5"/>
      <c r="F142" s="5"/>
      <c r="G142" s="5"/>
      <c r="H142" s="1792" t="s">
        <v>808</v>
      </c>
      <c r="I142" s="1793"/>
    </row>
    <row r="143" spans="1:10" ht="27" customHeight="1" x14ac:dyDescent="0.2">
      <c r="B143" s="5"/>
      <c r="C143" s="5"/>
      <c r="D143" s="5"/>
      <c r="E143" s="5"/>
      <c r="F143" s="5"/>
      <c r="G143" s="5"/>
      <c r="H143" s="1792" t="s">
        <v>1737</v>
      </c>
      <c r="I143" s="1793"/>
    </row>
    <row r="144" spans="1:10" ht="27" customHeight="1" x14ac:dyDescent="0.2">
      <c r="B144" s="5"/>
      <c r="C144" s="5"/>
      <c r="D144" s="5"/>
      <c r="E144" s="5"/>
      <c r="F144" s="5"/>
      <c r="G144" s="5"/>
      <c r="H144" s="1792" t="s">
        <v>1738</v>
      </c>
      <c r="I144" s="1793"/>
    </row>
    <row r="145" spans="2:9" ht="42" customHeight="1" x14ac:dyDescent="0.2">
      <c r="B145" s="5"/>
      <c r="C145" s="5"/>
      <c r="D145" s="5"/>
      <c r="E145" s="5"/>
      <c r="F145" s="5"/>
      <c r="G145" s="5"/>
      <c r="H145" s="1792" t="s">
        <v>1739</v>
      </c>
      <c r="I145" s="1793"/>
    </row>
    <row r="146" spans="2:9" ht="27" customHeight="1" x14ac:dyDescent="0.2">
      <c r="B146" s="5"/>
      <c r="C146" s="5"/>
      <c r="D146" s="5"/>
      <c r="E146" s="5"/>
      <c r="F146" s="5"/>
      <c r="G146" s="5"/>
      <c r="H146" s="1792" t="s">
        <v>817</v>
      </c>
      <c r="I146" s="1793"/>
    </row>
    <row r="147" spans="2:9" ht="42" customHeight="1" x14ac:dyDescent="0.2">
      <c r="H147" s="1792" t="s">
        <v>821</v>
      </c>
      <c r="I147" s="1793"/>
    </row>
    <row r="148" spans="2:9" ht="72" customHeight="1" thickBot="1" x14ac:dyDescent="0.25">
      <c r="H148" s="1794" t="s">
        <v>822</v>
      </c>
      <c r="I148" s="1795"/>
    </row>
    <row r="150" spans="2:9" x14ac:dyDescent="0.2">
      <c r="H150" s="756"/>
    </row>
    <row r="151" spans="2:9" x14ac:dyDescent="0.2">
      <c r="H151" s="756"/>
    </row>
  </sheetData>
  <sheetProtection algorithmName="SHA-512" hashValue="aHf3rejUoEyXx21cuwNSmxylFAAESPwGHcpjw+LJruOlJpV3BuS+6Jjc2KqkAM4egAdiIj0pYFNGcRtad/Q5KA==" saltValue="qhc8J7jYi2Hw98g4A3Scsg==" spinCount="100000" sheet="1" formatCells="0" formatColumns="0" formatRows="0"/>
  <customSheetViews>
    <customSheetView guid="{B8E02330-2419-4DE6-AD01-7ACC7A5D18DD}" scale="75">
      <selection activeCell="H120" sqref="A2:H120"/>
      <pageMargins left="0.75" right="0.75" top="1" bottom="1" header="0.5" footer="0.5"/>
      <pageSetup orientation="portrait" r:id="rId1"/>
      <headerFooter alignWithMargins="0"/>
    </customSheetView>
  </customSheetViews>
  <mergeCells count="112">
    <mergeCell ref="H148:I148"/>
    <mergeCell ref="H141:I141"/>
    <mergeCell ref="H142:I142"/>
    <mergeCell ref="H143:I143"/>
    <mergeCell ref="H144:I144"/>
    <mergeCell ref="H145:I145"/>
    <mergeCell ref="H135:I135"/>
    <mergeCell ref="H137:I137"/>
    <mergeCell ref="H138:I138"/>
    <mergeCell ref="H139:I139"/>
    <mergeCell ref="H140:I140"/>
    <mergeCell ref="A136:H136"/>
    <mergeCell ref="C135:E135"/>
    <mergeCell ref="H134:I134"/>
    <mergeCell ref="I96:I101"/>
    <mergeCell ref="I105:I110"/>
    <mergeCell ref="I111:I117"/>
    <mergeCell ref="I118:I124"/>
    <mergeCell ref="H96:H101"/>
    <mergeCell ref="H105:H110"/>
    <mergeCell ref="H146:I146"/>
    <mergeCell ref="H147:I147"/>
    <mergeCell ref="I79:I82"/>
    <mergeCell ref="I83:I87"/>
    <mergeCell ref="I88:I91"/>
    <mergeCell ref="I92:I95"/>
    <mergeCell ref="I48:I51"/>
    <mergeCell ref="I52:I58"/>
    <mergeCell ref="I59:I62"/>
    <mergeCell ref="I63:I66"/>
    <mergeCell ref="I67:I72"/>
    <mergeCell ref="I15:I21"/>
    <mergeCell ref="I22:I27"/>
    <mergeCell ref="I29:I35"/>
    <mergeCell ref="I36:I41"/>
    <mergeCell ref="I42:I47"/>
    <mergeCell ref="E1:I1"/>
    <mergeCell ref="I3:I7"/>
    <mergeCell ref="I9:I13"/>
    <mergeCell ref="I73:I78"/>
    <mergeCell ref="A1:B1"/>
    <mergeCell ref="A36:A41"/>
    <mergeCell ref="H3:H7"/>
    <mergeCell ref="B3:B7"/>
    <mergeCell ref="A3:A7"/>
    <mergeCell ref="A29:A35"/>
    <mergeCell ref="H9:H13"/>
    <mergeCell ref="H29:H35"/>
    <mergeCell ref="B15:B21"/>
    <mergeCell ref="H15:H21"/>
    <mergeCell ref="H22:H27"/>
    <mergeCell ref="B9:B13"/>
    <mergeCell ref="A9:A13"/>
    <mergeCell ref="B29:B35"/>
    <mergeCell ref="A15:A21"/>
    <mergeCell ref="B42:B47"/>
    <mergeCell ref="A59:A62"/>
    <mergeCell ref="B59:B62"/>
    <mergeCell ref="H48:H51"/>
    <mergeCell ref="B36:B41"/>
    <mergeCell ref="H36:H41"/>
    <mergeCell ref="A52:A58"/>
    <mergeCell ref="B52:B58"/>
    <mergeCell ref="H79:H82"/>
    <mergeCell ref="A48:A51"/>
    <mergeCell ref="A42:A47"/>
    <mergeCell ref="H83:H87"/>
    <mergeCell ref="A83:A87"/>
    <mergeCell ref="A88:A91"/>
    <mergeCell ref="H88:H91"/>
    <mergeCell ref="H67:H72"/>
    <mergeCell ref="B63:B66"/>
    <mergeCell ref="H63:H66"/>
    <mergeCell ref="H52:H58"/>
    <mergeCell ref="A63:A66"/>
    <mergeCell ref="H59:H62"/>
    <mergeCell ref="B105:B110"/>
    <mergeCell ref="B73:B78"/>
    <mergeCell ref="B48:B51"/>
    <mergeCell ref="B83:B87"/>
    <mergeCell ref="B92:B95"/>
    <mergeCell ref="A92:A95"/>
    <mergeCell ref="A79:A82"/>
    <mergeCell ref="A67:A72"/>
    <mergeCell ref="B96:B101"/>
    <mergeCell ref="A96:A101"/>
    <mergeCell ref="B88:B91"/>
    <mergeCell ref="A73:A78"/>
    <mergeCell ref="C134:E134"/>
    <mergeCell ref="A134:B135"/>
    <mergeCell ref="B22:B27"/>
    <mergeCell ref="A105:A110"/>
    <mergeCell ref="A111:A117"/>
    <mergeCell ref="D133:H133"/>
    <mergeCell ref="A127:C133"/>
    <mergeCell ref="D128:F128"/>
    <mergeCell ref="D129:F129"/>
    <mergeCell ref="D130:F130"/>
    <mergeCell ref="D131:F131"/>
    <mergeCell ref="D132:F132"/>
    <mergeCell ref="A118:A124"/>
    <mergeCell ref="B118:B124"/>
    <mergeCell ref="H118:H124"/>
    <mergeCell ref="A22:A27"/>
    <mergeCell ref="B67:B72"/>
    <mergeCell ref="B79:B82"/>
    <mergeCell ref="H42:H47"/>
    <mergeCell ref="H73:H78"/>
    <mergeCell ref="D127:H127"/>
    <mergeCell ref="H92:H95"/>
    <mergeCell ref="B111:B117"/>
    <mergeCell ref="H111:H117"/>
  </mergeCells>
  <phoneticPr fontId="3" type="noConversion"/>
  <pageMargins left="0.75" right="0.75" top="1" bottom="1" header="0.5" footer="0.5"/>
  <pageSetup orientation="portrait" r:id="rId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K220"/>
  <sheetViews>
    <sheetView topLeftCell="A100" zoomScaleNormal="100" workbookViewId="0">
      <selection activeCell="G110" sqref="G110"/>
    </sheetView>
  </sheetViews>
  <sheetFormatPr defaultColWidth="9.33203125" defaultRowHeight="16.5" x14ac:dyDescent="0.2"/>
  <cols>
    <col min="1" max="1" width="5.83203125" style="10" customWidth="1"/>
    <col min="2" max="2" width="18.83203125" style="10" customWidth="1"/>
    <col min="3" max="3" width="75.83203125" style="2" customWidth="1"/>
    <col min="4" max="6" width="7.83203125" style="63" customWidth="1"/>
    <col min="7" max="7" width="9.83203125" style="396" customWidth="1"/>
    <col min="8" max="8" width="64.83203125" style="2" customWidth="1"/>
    <col min="9" max="9" width="9.83203125" style="2" customWidth="1"/>
    <col min="10" max="10" width="9.33203125" style="2"/>
    <col min="11" max="11" width="9.33203125" style="56"/>
    <col min="12" max="16384" width="9.33203125" style="2"/>
  </cols>
  <sheetData>
    <row r="1" spans="1:11" s="52" customFormat="1" ht="88.5" customHeight="1" thickBot="1" x14ac:dyDescent="0.25">
      <c r="A1" s="1927" t="s">
        <v>1069</v>
      </c>
      <c r="B1" s="1928"/>
      <c r="C1" s="1418" t="s">
        <v>1456</v>
      </c>
      <c r="D1" s="1417" t="s">
        <v>1070</v>
      </c>
      <c r="E1" s="2004"/>
      <c r="F1" s="2005"/>
      <c r="G1" s="2005"/>
      <c r="H1" s="2005"/>
      <c r="I1" s="2005"/>
      <c r="K1" s="247"/>
    </row>
    <row r="2" spans="1:11" s="56" customFormat="1" ht="36" customHeight="1" thickBot="1" x14ac:dyDescent="0.25">
      <c r="A2" s="833" t="s">
        <v>88</v>
      </c>
      <c r="B2" s="833" t="s">
        <v>1424</v>
      </c>
      <c r="C2" s="862" t="s">
        <v>1164</v>
      </c>
      <c r="D2" s="833" t="s">
        <v>45</v>
      </c>
      <c r="E2" s="904" t="s">
        <v>1188</v>
      </c>
      <c r="F2" s="905" t="s">
        <v>1189</v>
      </c>
      <c r="G2" s="906" t="s">
        <v>2558</v>
      </c>
      <c r="H2" s="833" t="s">
        <v>1117</v>
      </c>
      <c r="I2" s="895" t="s">
        <v>2427</v>
      </c>
    </row>
    <row r="3" spans="1:11" ht="21" customHeight="1" thickBot="1" x14ac:dyDescent="0.25">
      <c r="A3" s="1978" t="str">
        <f>OF!A79</f>
        <v>OF15</v>
      </c>
      <c r="B3" s="1802" t="str">
        <f>OF!B79</f>
        <v>Tidal Proximity</v>
      </c>
      <c r="C3" s="240" t="str">
        <f>OF!C79</f>
        <v>The distance from the AA edge to the closest tidal water body (regardless of its salinity) is:</v>
      </c>
      <c r="D3" s="110"/>
      <c r="E3" s="110"/>
      <c r="F3" s="113"/>
      <c r="G3" s="327">
        <f>MAX(F4:F9)/MAX(E4:E9)</f>
        <v>0</v>
      </c>
      <c r="H3" s="1669" t="s">
        <v>1798</v>
      </c>
      <c r="I3" s="1669" t="s">
        <v>117</v>
      </c>
    </row>
    <row r="4" spans="1:11" ht="15" customHeight="1" x14ac:dyDescent="0.2">
      <c r="A4" s="1979"/>
      <c r="B4" s="1803"/>
      <c r="C4" s="14" t="str">
        <f>OF!C80</f>
        <v>&lt;100 m.</v>
      </c>
      <c r="D4" s="129">
        <f>OF!D80</f>
        <v>0</v>
      </c>
      <c r="E4" s="35">
        <v>5</v>
      </c>
      <c r="F4" s="187">
        <f t="shared" ref="F4:F9" si="0">D4*E4</f>
        <v>0</v>
      </c>
      <c r="G4" s="50"/>
      <c r="H4" s="1670"/>
      <c r="I4" s="1670"/>
    </row>
    <row r="5" spans="1:11" ht="15" customHeight="1" x14ac:dyDescent="0.2">
      <c r="A5" s="1979"/>
      <c r="B5" s="1803"/>
      <c r="C5" s="4" t="str">
        <f>OF!C81</f>
        <v>100 m - 1 km.</v>
      </c>
      <c r="D5" s="33">
        <f>OF!D81</f>
        <v>0</v>
      </c>
      <c r="E5" s="35">
        <v>5</v>
      </c>
      <c r="F5" s="187">
        <f t="shared" si="0"/>
        <v>0</v>
      </c>
      <c r="G5" s="447"/>
      <c r="H5" s="1670"/>
      <c r="I5" s="1670"/>
    </row>
    <row r="6" spans="1:11" ht="15" customHeight="1" x14ac:dyDescent="0.2">
      <c r="A6" s="1979"/>
      <c r="B6" s="1803"/>
      <c r="C6" s="4" t="str">
        <f>OF!C82</f>
        <v>1 - 5 km.</v>
      </c>
      <c r="D6" s="33">
        <f>OF!D82</f>
        <v>0</v>
      </c>
      <c r="E6" s="35">
        <v>4</v>
      </c>
      <c r="F6" s="187">
        <f t="shared" si="0"/>
        <v>0</v>
      </c>
      <c r="G6" s="447"/>
      <c r="H6" s="1670"/>
      <c r="I6" s="1670"/>
    </row>
    <row r="7" spans="1:11" ht="15" customHeight="1" x14ac:dyDescent="0.2">
      <c r="A7" s="1979"/>
      <c r="B7" s="1803"/>
      <c r="C7" s="4" t="str">
        <f>OF!C83</f>
        <v>5-10 km.</v>
      </c>
      <c r="D7" s="33">
        <f>OF!D83</f>
        <v>0</v>
      </c>
      <c r="E7" s="35">
        <v>3</v>
      </c>
      <c r="F7" s="187">
        <f t="shared" si="0"/>
        <v>0</v>
      </c>
      <c r="G7" s="447"/>
      <c r="H7" s="1670"/>
      <c r="I7" s="1670"/>
    </row>
    <row r="8" spans="1:11" ht="15" customHeight="1" x14ac:dyDescent="0.2">
      <c r="A8" s="1979"/>
      <c r="B8" s="1803"/>
      <c r="C8" s="4" t="str">
        <f>OF!C84</f>
        <v>10-40 km.</v>
      </c>
      <c r="D8" s="33">
        <f>OF!D84</f>
        <v>0</v>
      </c>
      <c r="E8" s="35">
        <v>2</v>
      </c>
      <c r="F8" s="187">
        <f t="shared" si="0"/>
        <v>0</v>
      </c>
      <c r="G8" s="447"/>
      <c r="H8" s="1670"/>
      <c r="I8" s="1670"/>
    </row>
    <row r="9" spans="1:11" ht="15" customHeight="1" thickBot="1" x14ac:dyDescent="0.25">
      <c r="A9" s="1980"/>
      <c r="B9" s="1804"/>
      <c r="C9" s="4" t="str">
        <f>OF!C85</f>
        <v>&gt;40 km.</v>
      </c>
      <c r="D9" s="33">
        <f>OF!D85</f>
        <v>0</v>
      </c>
      <c r="E9" s="112">
        <v>0</v>
      </c>
      <c r="F9" s="188">
        <f t="shared" si="0"/>
        <v>0</v>
      </c>
      <c r="G9" s="448"/>
      <c r="H9" s="1671"/>
      <c r="I9" s="1671"/>
    </row>
    <row r="10" spans="1:11" ht="45" customHeight="1" thickBot="1" x14ac:dyDescent="0.25">
      <c r="A10" s="1703" t="str">
        <f>OF!A114</f>
        <v>OF23</v>
      </c>
      <c r="B10" s="1670" t="str">
        <f>OF!B114</f>
        <v>Unvegetated Surface in the Contributing Area</v>
      </c>
      <c r="C10" s="184" t="str">
        <f>OF!C114</f>
        <v>The proportion of the AA's contributing area (measured to no more than 1000 m upslope) that is comprised of buildings, roads, parking lots, other pavement, exposed bedrock, landslides, and other mostly-bare surface is about :</v>
      </c>
      <c r="D10" s="38"/>
      <c r="E10" s="205"/>
      <c r="F10" s="383"/>
      <c r="G10" s="328">
        <f>MAX(F11:F13)/MAX(E11:E13)</f>
        <v>0</v>
      </c>
      <c r="H10" s="1670" t="s">
        <v>668</v>
      </c>
      <c r="I10" s="1669" t="s">
        <v>150</v>
      </c>
    </row>
    <row r="11" spans="1:11" ht="15" customHeight="1" x14ac:dyDescent="0.2">
      <c r="A11" s="1703"/>
      <c r="B11" s="1670"/>
      <c r="C11" s="1325" t="str">
        <f>OF!C115</f>
        <v>&lt;10%.</v>
      </c>
      <c r="D11" s="183">
        <f>OF!D115</f>
        <v>0</v>
      </c>
      <c r="E11" s="205">
        <v>3</v>
      </c>
      <c r="F11" s="187">
        <f>D11*E11</f>
        <v>0</v>
      </c>
      <c r="G11" s="383"/>
      <c r="H11" s="1670"/>
      <c r="I11" s="1670"/>
    </row>
    <row r="12" spans="1:11" ht="15" customHeight="1" x14ac:dyDescent="0.2">
      <c r="A12" s="1703"/>
      <c r="B12" s="1670"/>
      <c r="C12" s="1334" t="str">
        <f>OF!C116</f>
        <v>10 to 25%.</v>
      </c>
      <c r="D12" s="128">
        <f>OF!D116</f>
        <v>0</v>
      </c>
      <c r="E12" s="205">
        <v>2</v>
      </c>
      <c r="F12" s="187">
        <f>D12*E12</f>
        <v>0</v>
      </c>
      <c r="G12" s="384"/>
      <c r="H12" s="1670"/>
      <c r="I12" s="1670"/>
    </row>
    <row r="13" spans="1:11" ht="15" customHeight="1" thickBot="1" x14ac:dyDescent="0.25">
      <c r="A13" s="1722"/>
      <c r="B13" s="1671"/>
      <c r="C13" s="1061" t="str">
        <f>OF!C117</f>
        <v>&gt;25%.</v>
      </c>
      <c r="D13" s="84">
        <f>OF!D117</f>
        <v>0</v>
      </c>
      <c r="E13" s="446">
        <v>0</v>
      </c>
      <c r="F13" s="188">
        <f>D13*E13</f>
        <v>0</v>
      </c>
      <c r="G13" s="385"/>
      <c r="H13" s="1671"/>
      <c r="I13" s="1671"/>
    </row>
    <row r="14" spans="1:11" ht="44.25" customHeight="1" thickBot="1" x14ac:dyDescent="0.25">
      <c r="A14" s="1123" t="str">
        <f>OF!A133</f>
        <v>OF27</v>
      </c>
      <c r="B14" s="644" t="str">
        <f>OF!B133</f>
        <v>Growing Degree Days</v>
      </c>
      <c r="C14" s="1123" t="str">
        <f>OF!C133</f>
        <v>In Google Earth, open the KMZ file that accompanies this calculator, called NB-PEI_GrowingDegreeDays. Place your cursor over the AA and left-click. From the pop-up, enter the GRIDCODE in the next column.</v>
      </c>
      <c r="D14" s="1413">
        <f>OF!D133</f>
        <v>0</v>
      </c>
      <c r="E14" s="1129"/>
      <c r="F14" s="350"/>
      <c r="G14" s="253" t="str">
        <f>IF((GrowD&lt;1),"",(GrowD-1305)/1328)</f>
        <v/>
      </c>
      <c r="H14" s="120" t="s">
        <v>966</v>
      </c>
      <c r="I14" s="120" t="s">
        <v>967</v>
      </c>
    </row>
    <row r="15" spans="1:11" ht="70.5" customHeight="1" thickBot="1" x14ac:dyDescent="0.25">
      <c r="A15" s="436" t="str">
        <f>OF!A152</f>
        <v>OF37</v>
      </c>
      <c r="B15" s="436" t="str">
        <f>OF!B152</f>
        <v>Calcareous Region</v>
      </c>
      <c r="C15" s="436" t="str">
        <f>OF!C152</f>
        <v xml:space="preserve">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&gt;8).See Figure A-6 in Appendix A of the Manual.  If no map coverage, change to blank.
</v>
      </c>
      <c r="D15" s="114">
        <f>OF!D152</f>
        <v>0</v>
      </c>
      <c r="E15" s="110"/>
      <c r="F15" s="192"/>
      <c r="G15" s="327">
        <f>IF((D15=""),"",D15/3)</f>
        <v>0</v>
      </c>
      <c r="H15" s="120" t="s">
        <v>2912</v>
      </c>
      <c r="I15" s="120" t="s">
        <v>2577</v>
      </c>
    </row>
    <row r="16" spans="1:11" ht="24" customHeight="1" thickBot="1" x14ac:dyDescent="0.25">
      <c r="A16" s="1669" t="str">
        <f>F!A4</f>
        <v>F1</v>
      </c>
      <c r="B16" s="1669" t="str">
        <f>F!B4</f>
        <v>Wetland Type</v>
      </c>
      <c r="C16" s="55" t="str">
        <f>F!C4</f>
        <v>Follow the key below and mark the ONE row that best describes MOST of the vegetated part of the AA:</v>
      </c>
      <c r="D16" s="946"/>
      <c r="E16" s="202"/>
      <c r="F16" s="758"/>
      <c r="G16" s="327">
        <f>MAX(F17:F22)/MAX(E17:E22)</f>
        <v>0</v>
      </c>
      <c r="H16" s="1669" t="s">
        <v>2281</v>
      </c>
      <c r="I16" s="1669" t="s">
        <v>101</v>
      </c>
    </row>
    <row r="17" spans="1:9" ht="60" customHeight="1" thickBot="1" x14ac:dyDescent="0.25">
      <c r="A17" s="1670"/>
      <c r="B17" s="1670"/>
      <c r="C17" s="55" t="str">
        <f>F!C5</f>
        <v>A. Moss and/or lichen cover more than 25%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v>
      </c>
      <c r="D17" s="203"/>
      <c r="E17" s="203"/>
      <c r="F17" s="203"/>
      <c r="G17" s="418"/>
      <c r="H17" s="1670"/>
      <c r="I17" s="1670"/>
    </row>
    <row r="18" spans="1:9" ht="76.5" customHeight="1" x14ac:dyDescent="0.2">
      <c r="A18" s="1670"/>
      <c r="B18" s="1670"/>
      <c r="C18" s="243" t="str">
        <f>F!C6</f>
        <v>A1.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(Carex rariflora). Wetland surface and surrounding landscape are seldom sloping and wetland often is domed (convex). Inlet and outlet channels are usually absent.  If known, pH of peat is &lt;4.0.</v>
      </c>
      <c r="D18" s="33">
        <f>F!D6</f>
        <v>0</v>
      </c>
      <c r="E18" s="203">
        <v>1</v>
      </c>
      <c r="F18" s="187">
        <f>D18*E18</f>
        <v>0</v>
      </c>
      <c r="G18" s="418"/>
      <c r="H18" s="1670"/>
      <c r="I18" s="1670"/>
    </row>
    <row r="19" spans="1:9" ht="57" customHeight="1" thickBot="1" x14ac:dyDescent="0.25">
      <c r="A19" s="1670"/>
      <c r="B19" s="1670"/>
      <c r="C19" s="182" t="str">
        <f>F!C7</f>
        <v>A2.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v>
      </c>
      <c r="D19" s="33">
        <f>F!D7</f>
        <v>0</v>
      </c>
      <c r="E19" s="203">
        <v>2</v>
      </c>
      <c r="F19" s="187">
        <f>D19*E19</f>
        <v>0</v>
      </c>
      <c r="G19" s="418"/>
      <c r="H19" s="1670"/>
      <c r="I19" s="1670"/>
    </row>
    <row r="20" spans="1:9" ht="30" customHeight="1" thickBot="1" x14ac:dyDescent="0.25">
      <c r="A20" s="1670"/>
      <c r="B20" s="1670"/>
      <c r="C20" s="55" t="str">
        <f>F!C8</f>
        <v>B. Moss and/or lichen cover less than 25% of the ground. Soil is mineral or decomposed organic (muck). Choose between B1 and B2 and mark the choice with a 1 in their adjoining column:</v>
      </c>
      <c r="D20" s="203"/>
      <c r="E20" s="203"/>
      <c r="F20" s="187"/>
      <c r="G20" s="418"/>
      <c r="H20" s="1670"/>
      <c r="I20" s="1670"/>
    </row>
    <row r="21" spans="1:9" ht="27" customHeight="1" x14ac:dyDescent="0.2">
      <c r="A21" s="1670"/>
      <c r="B21" s="1670"/>
      <c r="C21" s="243" t="str">
        <f>F!C9</f>
        <v>B1. Trees and shrubs taller than 1 m comprise more than 25% of the vegetated cover. Surface water is mostly absent or inundates the vegetation only seasonally (e.g., vernal pools or floodplain).</v>
      </c>
      <c r="D21" s="33">
        <f>F!D9</f>
        <v>0</v>
      </c>
      <c r="E21" s="203">
        <v>2</v>
      </c>
      <c r="F21" s="187">
        <f>D21*E21</f>
        <v>0</v>
      </c>
      <c r="G21" s="418"/>
      <c r="H21" s="1670"/>
      <c r="I21" s="1670"/>
    </row>
    <row r="22" spans="1:9" ht="42" customHeight="1" thickBot="1" x14ac:dyDescent="0.25">
      <c r="A22" s="1671"/>
      <c r="B22" s="1671"/>
      <c r="C22" s="242" t="str">
        <f>F!C10</f>
        <v>B2. Not B1.  Tree &amp; tall shrubs comprise less than than 25% of the vegetated cover.  Vegetation is mostly herbaceous, e.g., cattail, bulrush, burreed, pond lily, horsetail. Surface water may be extensive and fluctuates seasonally, being either persistent or drying up partly or entirely.</v>
      </c>
      <c r="D22" s="84">
        <f>F!D10</f>
        <v>0</v>
      </c>
      <c r="E22" s="204">
        <v>3</v>
      </c>
      <c r="F22" s="188">
        <f>D22*E22</f>
        <v>0</v>
      </c>
      <c r="G22" s="1070"/>
      <c r="H22" s="1671"/>
      <c r="I22" s="1671"/>
    </row>
    <row r="23" spans="1:9" ht="52.5" customHeight="1" thickBot="1" x14ac:dyDescent="0.25">
      <c r="A23" s="2006" t="str">
        <f>F!A12</f>
        <v>F2</v>
      </c>
      <c r="B23" s="1670" t="str">
        <f>F!B12</f>
        <v xml:space="preserve">Wetland Types - Adjoining or Subordinate </v>
      </c>
      <c r="C23" s="624" t="str">
        <f>F!C12</f>
        <v>If the AA is smaller than 1 ha, mark all other types that occupy more than 1% of the vegetated AA.  If the AA is larger than 1 ha, mark all other types which are within or adjacent to the AA and occupy more than 1 ha, as visible from the AA or as interpreted from aerial imagery.  Do not mark again the type marked in F1.</v>
      </c>
      <c r="D23" s="205"/>
      <c r="E23" s="186"/>
      <c r="F23" s="186"/>
      <c r="G23" s="1075">
        <f>SUM(D24:D27)/3</f>
        <v>0</v>
      </c>
      <c r="H23" s="1925" t="s">
        <v>2378</v>
      </c>
      <c r="I23" s="1669" t="s">
        <v>1689</v>
      </c>
    </row>
    <row r="24" spans="1:9" ht="15" customHeight="1" x14ac:dyDescent="0.2">
      <c r="A24" s="2006"/>
      <c r="B24" s="1670"/>
      <c r="C24" s="938" t="str">
        <f>F!C13</f>
        <v>A1.</v>
      </c>
      <c r="D24" s="33">
        <f>F!D13</f>
        <v>0</v>
      </c>
      <c r="E24" s="187"/>
      <c r="F24" s="187"/>
      <c r="G24" s="449"/>
      <c r="H24" s="1925"/>
      <c r="I24" s="1670"/>
    </row>
    <row r="25" spans="1:9" ht="15" customHeight="1" x14ac:dyDescent="0.2">
      <c r="A25" s="2006"/>
      <c r="B25" s="1670"/>
      <c r="C25" s="779" t="str">
        <f>F!C14</f>
        <v>A2.</v>
      </c>
      <c r="D25" s="33">
        <f>F!D14</f>
        <v>0</v>
      </c>
      <c r="E25" s="187"/>
      <c r="F25" s="187"/>
      <c r="G25" s="449"/>
      <c r="H25" s="1925"/>
      <c r="I25" s="1670"/>
    </row>
    <row r="26" spans="1:9" ht="15" customHeight="1" x14ac:dyDescent="0.2">
      <c r="A26" s="2006"/>
      <c r="B26" s="1670"/>
      <c r="C26" s="779" t="str">
        <f>F!C15</f>
        <v>B1.</v>
      </c>
      <c r="D26" s="33">
        <f>F!D15</f>
        <v>0</v>
      </c>
      <c r="E26" s="187"/>
      <c r="F26" s="187"/>
      <c r="G26" s="449"/>
      <c r="H26" s="1925"/>
      <c r="I26" s="1670"/>
    </row>
    <row r="27" spans="1:9" ht="15" customHeight="1" thickBot="1" x14ac:dyDescent="0.25">
      <c r="A27" s="2007"/>
      <c r="B27" s="1671"/>
      <c r="C27" s="780" t="str">
        <f>F!C16</f>
        <v>B2.</v>
      </c>
      <c r="D27" s="84">
        <f>F!D16</f>
        <v>0</v>
      </c>
      <c r="E27" s="188"/>
      <c r="F27" s="188"/>
      <c r="G27" s="450"/>
      <c r="H27" s="1936"/>
      <c r="I27" s="1671"/>
    </row>
    <row r="28" spans="1:9" ht="75" customHeight="1" thickBot="1" x14ac:dyDescent="0.25">
      <c r="A28" s="184" t="str">
        <f>F!A17</f>
        <v>F3</v>
      </c>
      <c r="B28" s="184" t="str">
        <f>F!B17</f>
        <v>Woody Height &amp; Form Diversity</v>
      </c>
      <c r="C28" s="776" t="str">
        <f>F!C17</f>
        <v>Following EACH row below, indicate with a number code the percentage of the living vegetation in the AA which is occupied by that feature (6 if &gt;95%, 5 if 75-95%, 4 if 50-75%, 3 if 25-50%, 2 if 5-25%, 1 if &lt;5%, 0 if none). If the vegetated part of the AA is largely herbaceous (non-woody) vegetation, these percentages should not sum to 100%.</v>
      </c>
      <c r="D28" s="615">
        <f>MAX(F!D19, F!D21, F!D23)/6</f>
        <v>0</v>
      </c>
      <c r="E28" s="186"/>
      <c r="F28" s="186"/>
      <c r="G28" s="328" t="str">
        <f>IF((SUM(F!D18:'F'!D21)=0),"", D28)</f>
        <v/>
      </c>
      <c r="H28" s="624" t="s">
        <v>2343</v>
      </c>
      <c r="I28" s="3" t="s">
        <v>1147</v>
      </c>
    </row>
    <row r="29" spans="1:9" ht="21" customHeight="1" thickBot="1" x14ac:dyDescent="0.25">
      <c r="A29" s="1669" t="str">
        <f>F!A37</f>
        <v>F6</v>
      </c>
      <c r="B29" s="1669" t="str">
        <f>F!B37</f>
        <v>Height Class Interspersion</v>
      </c>
      <c r="C29" s="240" t="str">
        <f>F!C37</f>
        <v>Follow the key below and mark the ONE row that best describes MOST of the AA:</v>
      </c>
      <c r="D29" s="681"/>
      <c r="E29" s="191"/>
      <c r="F29" s="191"/>
      <c r="G29" s="400" t="str">
        <f>IF((MAX(F!D18:D21)&lt;2),"", MAX(F31:F35)/MAX(E31:E35))</f>
        <v/>
      </c>
      <c r="H29" s="1669" t="s">
        <v>2926</v>
      </c>
      <c r="I29" s="1669" t="s">
        <v>1573</v>
      </c>
    </row>
    <row r="30" spans="1:9" ht="45" customHeight="1" thickBot="1" x14ac:dyDescent="0.25">
      <c r="A30" s="1670"/>
      <c r="B30" s="1670"/>
      <c r="C30" s="3" t="str">
        <f>F!C38</f>
        <v xml:space="preserve">A. Neither the vegetation taller than 1 m nor the vegetation shorter than that comprise &gt;70% of the vegetated part of the AA.  They each comprise 30-70%.  Choose between A1 and A2 and mark the choice with a 1 in the adjoining column.  Otherwise go to B below. </v>
      </c>
      <c r="D30" s="203"/>
      <c r="E30" s="186"/>
      <c r="F30" s="206"/>
      <c r="G30" s="449"/>
      <c r="H30" s="1670"/>
      <c r="I30" s="1670"/>
    </row>
    <row r="31" spans="1:9" ht="15" customHeight="1" x14ac:dyDescent="0.2">
      <c r="A31" s="1670"/>
      <c r="B31" s="1670"/>
      <c r="C31" s="14" t="str">
        <f>F!C39</f>
        <v>A1. The two height classes are mostly scattered and intermixed throughout the AA.</v>
      </c>
      <c r="D31" s="146">
        <f>F!D39</f>
        <v>0</v>
      </c>
      <c r="E31" s="187">
        <v>3</v>
      </c>
      <c r="F31" s="190">
        <f>D31*E31</f>
        <v>0</v>
      </c>
      <c r="G31" s="449"/>
      <c r="H31" s="1670"/>
      <c r="I31" s="1670"/>
    </row>
    <row r="32" spans="1:9" ht="27" customHeight="1" thickBot="1" x14ac:dyDescent="0.25">
      <c r="A32" s="1670"/>
      <c r="B32" s="1670"/>
      <c r="C32" s="241" t="str">
        <f>F!C40</f>
        <v>A2. Not A1.  The two height classes are mostly in separate zones or bands, or in proportionately large clumps.</v>
      </c>
      <c r="D32" s="146">
        <f>F!D40</f>
        <v>0</v>
      </c>
      <c r="E32" s="187">
        <v>2</v>
      </c>
      <c r="F32" s="190">
        <f>D32*E32</f>
        <v>0</v>
      </c>
      <c r="G32" s="449"/>
      <c r="H32" s="1670"/>
      <c r="I32" s="1670"/>
    </row>
    <row r="33" spans="1:9" ht="45" customHeight="1" thickBot="1" x14ac:dyDescent="0.25">
      <c r="A33" s="1670"/>
      <c r="B33" s="1670"/>
      <c r="C33" s="3" t="str">
        <f>F!C41</f>
        <v>B. Either the vegetation shorter than 1 m comprises &gt;70% of the vegetated part of the AA, or the vegetation taller than that does.  One size class might even be totally absent.  Choose between B1 and B2 and mark the choice with a 1 in the adjoining column:</v>
      </c>
      <c r="D33" s="203"/>
      <c r="E33" s="187"/>
      <c r="F33" s="190"/>
      <c r="G33" s="449"/>
      <c r="H33" s="1670"/>
      <c r="I33" s="1670"/>
    </row>
    <row r="34" spans="1:9" ht="15" customHeight="1" x14ac:dyDescent="0.2">
      <c r="A34" s="1670"/>
      <c r="B34" s="1670"/>
      <c r="C34" s="14" t="str">
        <f>F!C42</f>
        <v>B1. The less prevalent height class is mostly scattered and intermixed within the prevalent one.</v>
      </c>
      <c r="D34" s="146">
        <f>F!D42</f>
        <v>0</v>
      </c>
      <c r="E34" s="187">
        <v>1</v>
      </c>
      <c r="F34" s="190">
        <f>D34*E34</f>
        <v>0</v>
      </c>
      <c r="G34" s="449"/>
      <c r="H34" s="1670"/>
      <c r="I34" s="1670"/>
    </row>
    <row r="35" spans="1:9" ht="27" customHeight="1" thickBot="1" x14ac:dyDescent="0.25">
      <c r="A35" s="1671"/>
      <c r="B35" s="1671"/>
      <c r="C35" s="85" t="str">
        <f>F!C43</f>
        <v>B2. Not B1.  The less prevalent height class is mostly located apart from the prevalent one, in separate zones or clumps, or is completely absent.</v>
      </c>
      <c r="D35" s="147">
        <f>F!D43</f>
        <v>0</v>
      </c>
      <c r="E35" s="188">
        <v>0</v>
      </c>
      <c r="F35" s="188">
        <f>D35*E35</f>
        <v>0</v>
      </c>
      <c r="G35" s="450"/>
      <c r="H35" s="1671"/>
      <c r="I35" s="1671"/>
    </row>
    <row r="36" spans="1:9" ht="36" customHeight="1" thickBot="1" x14ac:dyDescent="0.25">
      <c r="A36" s="1703" t="str">
        <f>F!A48</f>
        <v>F8</v>
      </c>
      <c r="B36" s="1670" t="str">
        <f>F!B48</f>
        <v>Downed Wood</v>
      </c>
      <c r="C36" s="245" t="str">
        <f>F!C48</f>
        <v>The number of downed wood pieces longer than 2 m and with diameter &gt;10 cm, and not persistently submerged, is:</v>
      </c>
      <c r="D36" s="38"/>
      <c r="E36" s="186"/>
      <c r="F36" s="189"/>
      <c r="G36" s="328" t="str">
        <f>IF((MAX(F!D18:D21)&lt;2),"", IF((D37=1),1,""))</f>
        <v/>
      </c>
      <c r="H36" s="1696" t="s">
        <v>1576</v>
      </c>
      <c r="I36" s="1669" t="s">
        <v>112</v>
      </c>
    </row>
    <row r="37" spans="1:9" ht="18" customHeight="1" x14ac:dyDescent="0.2">
      <c r="A37" s="1703"/>
      <c r="B37" s="1670"/>
      <c r="C37" s="14" t="str">
        <f>F!C49</f>
        <v>Few or none that meet these criteria.</v>
      </c>
      <c r="D37" s="129">
        <f>F!D49</f>
        <v>0</v>
      </c>
      <c r="E37" s="187">
        <v>0</v>
      </c>
      <c r="F37" s="187">
        <f>D37*E37</f>
        <v>0</v>
      </c>
      <c r="G37" s="383"/>
      <c r="H37" s="1696"/>
      <c r="I37" s="1670"/>
    </row>
    <row r="38" spans="1:9" ht="27" customHeight="1" thickBot="1" x14ac:dyDescent="0.25">
      <c r="A38" s="1722"/>
      <c r="B38" s="1671"/>
      <c r="C38" s="85" t="str">
        <f>F!C50</f>
        <v>Several (&gt;5 if AA is &gt;5 hectares, less for smaller AAs) meet these criteria.</v>
      </c>
      <c r="D38" s="84">
        <f>F!D50</f>
        <v>0</v>
      </c>
      <c r="E38" s="188">
        <v>1</v>
      </c>
      <c r="F38" s="188">
        <f>D38*E38</f>
        <v>0</v>
      </c>
      <c r="G38" s="385"/>
      <c r="H38" s="1712"/>
      <c r="I38" s="1671"/>
    </row>
    <row r="39" spans="1:9" ht="21" customHeight="1" thickBot="1" x14ac:dyDescent="0.25">
      <c r="A39" s="1721" t="str">
        <f>F!A51</f>
        <v>F9</v>
      </c>
      <c r="B39" s="1669" t="str">
        <f>F!B51</f>
        <v>N Fixers</v>
      </c>
      <c r="C39" s="3" t="s">
        <v>1332</v>
      </c>
      <c r="D39" s="946"/>
      <c r="E39" s="191"/>
      <c r="F39" s="192"/>
      <c r="G39" s="327">
        <f>MAX(F40:F44)/MAX(E40:E44)</f>
        <v>0</v>
      </c>
      <c r="H39" s="1693" t="s">
        <v>667</v>
      </c>
      <c r="I39" s="1669" t="s">
        <v>111</v>
      </c>
    </row>
    <row r="40" spans="1:9" ht="15" customHeight="1" x14ac:dyDescent="0.2">
      <c r="A40" s="1703"/>
      <c r="B40" s="1670"/>
      <c r="C40" s="14" t="s">
        <v>1333</v>
      </c>
      <c r="D40" s="129">
        <f>F!D52</f>
        <v>0</v>
      </c>
      <c r="E40" s="187">
        <v>0</v>
      </c>
      <c r="F40" s="187">
        <f>D40*E40</f>
        <v>0</v>
      </c>
      <c r="G40" s="383"/>
      <c r="H40" s="1696"/>
      <c r="I40" s="1670"/>
    </row>
    <row r="41" spans="1:9" ht="27" customHeight="1" x14ac:dyDescent="0.2">
      <c r="A41" s="1703"/>
      <c r="B41" s="1670"/>
      <c r="C41" s="4" t="s">
        <v>1457</v>
      </c>
      <c r="D41" s="33">
        <f>F!D53</f>
        <v>0</v>
      </c>
      <c r="E41" s="187">
        <v>1</v>
      </c>
      <c r="F41" s="187">
        <f>D41*E41</f>
        <v>0</v>
      </c>
      <c r="G41" s="384"/>
      <c r="H41" s="1696"/>
      <c r="I41" s="1670"/>
    </row>
    <row r="42" spans="1:9" ht="27" customHeight="1" x14ac:dyDescent="0.2">
      <c r="A42" s="1703"/>
      <c r="B42" s="1670"/>
      <c r="C42" s="4" t="s">
        <v>1458</v>
      </c>
      <c r="D42" s="33">
        <f>F!D54</f>
        <v>0</v>
      </c>
      <c r="E42" s="187">
        <v>2</v>
      </c>
      <c r="F42" s="187">
        <f>D42*E42</f>
        <v>0</v>
      </c>
      <c r="G42" s="384"/>
      <c r="H42" s="1696"/>
      <c r="I42" s="1670"/>
    </row>
    <row r="43" spans="1:9" ht="27" customHeight="1" x14ac:dyDescent="0.2">
      <c r="A43" s="1703"/>
      <c r="B43" s="1670"/>
      <c r="C43" s="4" t="s">
        <v>1459</v>
      </c>
      <c r="D43" s="33">
        <f>F!D55</f>
        <v>0</v>
      </c>
      <c r="E43" s="187">
        <v>3</v>
      </c>
      <c r="F43" s="187">
        <f>D43*E43</f>
        <v>0</v>
      </c>
      <c r="G43" s="384"/>
      <c r="H43" s="1696"/>
      <c r="I43" s="1670"/>
    </row>
    <row r="44" spans="1:9" ht="27" customHeight="1" thickBot="1" x14ac:dyDescent="0.25">
      <c r="A44" s="1722"/>
      <c r="B44" s="1671"/>
      <c r="C44" s="85" t="s">
        <v>1460</v>
      </c>
      <c r="D44" s="84">
        <f>F!D56</f>
        <v>0</v>
      </c>
      <c r="E44" s="188">
        <v>4</v>
      </c>
      <c r="F44" s="188">
        <f>D44*E44</f>
        <v>0</v>
      </c>
      <c r="G44" s="385"/>
      <c r="H44" s="1712"/>
      <c r="I44" s="1671"/>
    </row>
    <row r="45" spans="1:9" ht="30" customHeight="1" thickBot="1" x14ac:dyDescent="0.25">
      <c r="A45" s="1703" t="str">
        <f>F!A63</f>
        <v>F11</v>
      </c>
      <c r="B45" s="1670" t="str">
        <f>F!B63</f>
        <v>% Bare Ground &amp; Thatch</v>
      </c>
      <c r="C45" s="245" t="str">
        <f>F!C63</f>
        <v>Consider the parts of the AA that lack surface water at the driest time of the growing season. Viewed from directly above the ground layer, the predominant condition in those areas at that time is:</v>
      </c>
      <c r="D45" s="38"/>
      <c r="E45" s="186"/>
      <c r="F45" s="189"/>
      <c r="G45" s="328">
        <f>MAX(F46:F49)/MAX(E46:E49)</f>
        <v>0</v>
      </c>
      <c r="H45" s="1696" t="s">
        <v>15</v>
      </c>
      <c r="I45" s="1670" t="s">
        <v>113</v>
      </c>
    </row>
    <row r="46" spans="1:9" ht="42" customHeight="1" x14ac:dyDescent="0.2">
      <c r="A46" s="1703"/>
      <c r="B46" s="1670"/>
      <c r="C46" s="14" t="str">
        <f>F!C64</f>
        <v>Little or no (&lt;5%) bare ground is visible between erect stems or under canopy anywhere in the vegetated AA. Ground is extensively blanketed by dense thatch, moss, lichens, graminoids with great stem densities, or plants with ground-hugging foliage. </v>
      </c>
      <c r="D46" s="129">
        <f>F!D64</f>
        <v>0</v>
      </c>
      <c r="E46" s="187">
        <v>3</v>
      </c>
      <c r="F46" s="187">
        <f>D46*E46</f>
        <v>0</v>
      </c>
      <c r="G46" s="383"/>
      <c r="H46" s="1696"/>
      <c r="I46" s="1670"/>
    </row>
    <row r="47" spans="1:9" ht="27" customHeight="1" x14ac:dyDescent="0.2">
      <c r="A47" s="1703"/>
      <c r="B47" s="1670"/>
      <c r="C47" s="4" t="str">
        <f>F!C65</f>
        <v>Slightly bare ground (5-20% bare between plants) is visible in places, but those areas comprise less than 5% of the unflooded parts of the AA.</v>
      </c>
      <c r="D47" s="33">
        <f>F!D65</f>
        <v>0</v>
      </c>
      <c r="E47" s="187">
        <v>2</v>
      </c>
      <c r="F47" s="187">
        <f>D47*E47</f>
        <v>0</v>
      </c>
      <c r="G47" s="384"/>
      <c r="H47" s="1696"/>
      <c r="I47" s="1670"/>
    </row>
    <row r="48" spans="1:9" ht="27" customHeight="1" x14ac:dyDescent="0.2">
      <c r="A48" s="1703"/>
      <c r="B48" s="1670"/>
      <c r="C48" s="4" t="str">
        <f>F!C66</f>
        <v>Much bare ground (20-50% bare between plants) is visible in places, and those areas comprise more than 5% of the unflooded parts of the AA. </v>
      </c>
      <c r="D48" s="33">
        <f>F!D66</f>
        <v>0</v>
      </c>
      <c r="E48" s="187">
        <v>1</v>
      </c>
      <c r="F48" s="187">
        <f>D48*E48</f>
        <v>0</v>
      </c>
      <c r="G48" s="384"/>
      <c r="H48" s="1696"/>
      <c r="I48" s="1670"/>
    </row>
    <row r="49" spans="1:9" ht="15" customHeight="1" thickBot="1" x14ac:dyDescent="0.25">
      <c r="A49" s="1722"/>
      <c r="B49" s="1671"/>
      <c r="C49" s="85" t="str">
        <f>F!C67</f>
        <v>Other conditions.</v>
      </c>
      <c r="D49" s="84">
        <f>F!D67</f>
        <v>0</v>
      </c>
      <c r="E49" s="188">
        <v>0</v>
      </c>
      <c r="F49" s="188">
        <f>D49*E49</f>
        <v>0</v>
      </c>
      <c r="G49" s="385"/>
      <c r="H49" s="1712"/>
      <c r="I49" s="1671"/>
    </row>
    <row r="50" spans="1:9" ht="60" customHeight="1" thickBot="1" x14ac:dyDescent="0.25">
      <c r="A50" s="1853" t="str">
        <f>F!A69</f>
        <v>F12</v>
      </c>
      <c r="B50" s="1670" t="str">
        <f>F!B69</f>
        <v xml:space="preserve">Ground Irregularity </v>
      </c>
      <c r="C50" s="245" t="str">
        <f>F!C69</f>
        <v>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v>
      </c>
      <c r="D50" s="110"/>
      <c r="E50" s="186"/>
      <c r="F50" s="189"/>
      <c r="G50" s="328">
        <f>MAX(F51:F53)/MAX(E51:E53)</f>
        <v>0</v>
      </c>
      <c r="H50" s="1696" t="s">
        <v>60</v>
      </c>
      <c r="I50" s="1669" t="s">
        <v>114</v>
      </c>
    </row>
    <row r="51" spans="1:9" ht="27" customHeight="1" x14ac:dyDescent="0.2">
      <c r="A51" s="1853"/>
      <c r="B51" s="1670"/>
      <c r="C51" s="14" t="str">
        <f>F!C70</f>
        <v>Few or none (minimal microtopography; &lt;1% of the land has such features, or entire AA is always water-covered).</v>
      </c>
      <c r="D51" s="129">
        <f>F!D70</f>
        <v>0</v>
      </c>
      <c r="E51" s="187">
        <v>0</v>
      </c>
      <c r="F51" s="187">
        <f>D51*E51</f>
        <v>0</v>
      </c>
      <c r="G51" s="383"/>
      <c r="H51" s="1696"/>
      <c r="I51" s="1670"/>
    </row>
    <row r="52" spans="1:9" ht="15" customHeight="1" x14ac:dyDescent="0.2">
      <c r="A52" s="1853"/>
      <c r="B52" s="1670"/>
      <c r="C52" s="4" t="str">
        <f>F!C71</f>
        <v>Intermediate.</v>
      </c>
      <c r="D52" s="33">
        <f>F!D71</f>
        <v>0</v>
      </c>
      <c r="E52" s="187">
        <v>1</v>
      </c>
      <c r="F52" s="187">
        <f>D52*E52</f>
        <v>0</v>
      </c>
      <c r="G52" s="384"/>
      <c r="H52" s="1696"/>
      <c r="I52" s="1670"/>
    </row>
    <row r="53" spans="1:9" ht="15" customHeight="1" thickBot="1" x14ac:dyDescent="0.25">
      <c r="A53" s="1853"/>
      <c r="B53" s="1670"/>
      <c r="C53" s="241" t="str">
        <f>F!C72</f>
        <v>Several (extensive micro-topography).</v>
      </c>
      <c r="D53" s="128">
        <f>F!D72</f>
        <v>0</v>
      </c>
      <c r="E53" s="190">
        <v>2</v>
      </c>
      <c r="F53" s="190">
        <f>D53*E53</f>
        <v>0</v>
      </c>
      <c r="G53" s="391"/>
      <c r="H53" s="1696"/>
      <c r="I53" s="1671"/>
    </row>
    <row r="54" spans="1:9" ht="30" customHeight="1" thickBot="1" x14ac:dyDescent="0.25">
      <c r="A54" s="1862" t="str">
        <f>F!A105</f>
        <v>F19</v>
      </c>
      <c r="B54" s="1666" t="str">
        <f>F!B105</f>
        <v xml:space="preserve">Dominance of Most Abundant Herbaceous Species </v>
      </c>
      <c r="C54" s="323" t="str">
        <f>F!C105</f>
        <v>Determine which two herbaceous species comprise the greatest portion of the herbaceous cover (excluding mosses and floating-leaved aquatic plants). Then choose one of the following:</v>
      </c>
      <c r="D54" s="110"/>
      <c r="E54" s="191"/>
      <c r="F54" s="192"/>
      <c r="G54" s="327">
        <f>IF((NoHerbCov=1),"", MAX(F55:F56)/MAX(E55:E56))</f>
        <v>0</v>
      </c>
      <c r="H54" s="1669" t="s">
        <v>1852</v>
      </c>
      <c r="I54" s="1669" t="s">
        <v>1030</v>
      </c>
    </row>
    <row r="55" spans="1:9" ht="15" customHeight="1" x14ac:dyDescent="0.2">
      <c r="A55" s="1723"/>
      <c r="B55" s="1667"/>
      <c r="C55" s="324" t="str">
        <f>F!C106</f>
        <v>those species together comprise &gt; 50% of the areal cover of herbaceous plants at any time during the year.</v>
      </c>
      <c r="D55" s="131">
        <f>F!D106</f>
        <v>0</v>
      </c>
      <c r="E55" s="187">
        <v>0</v>
      </c>
      <c r="F55" s="190">
        <f>D55*E55</f>
        <v>0</v>
      </c>
      <c r="G55" s="383"/>
      <c r="H55" s="1670"/>
      <c r="I55" s="1670"/>
    </row>
    <row r="56" spans="1:9" ht="27" customHeight="1" thickBot="1" x14ac:dyDescent="0.25">
      <c r="A56" s="1863"/>
      <c r="B56" s="1668"/>
      <c r="C56" s="401" t="str">
        <f>F!C107</f>
        <v>those species together do not comprise &gt; 50% of the areal cover of herbaceous plants at any time during the year.</v>
      </c>
      <c r="D56" s="148">
        <f>F!D107</f>
        <v>0</v>
      </c>
      <c r="E56" s="188">
        <v>1</v>
      </c>
      <c r="F56" s="188">
        <f>D56*E56</f>
        <v>0</v>
      </c>
      <c r="G56" s="385"/>
      <c r="H56" s="1671"/>
      <c r="I56" s="1671"/>
    </row>
    <row r="57" spans="1:9" ht="30" customHeight="1" thickBot="1" x14ac:dyDescent="0.25">
      <c r="A57" s="1703" t="str">
        <f>F!A121</f>
        <v>F24</v>
      </c>
      <c r="B57" s="1670" t="str">
        <f>F!B121</f>
        <v>% of AA Without Surface Water</v>
      </c>
      <c r="C57" s="184" t="str">
        <f>F!C121</f>
        <v>The percentage of the AA that never contains surface water during an average year (that is, except perhaps for a few hours after snowmelt or rainstorms), but which is still a wetland, is:</v>
      </c>
      <c r="D57" s="38"/>
      <c r="E57" s="205"/>
      <c r="F57" s="186"/>
      <c r="G57" s="297">
        <f>MAX(F58:F63)/MAX(E58:E63)</f>
        <v>0</v>
      </c>
      <c r="H57" s="1670" t="s">
        <v>979</v>
      </c>
      <c r="I57" s="1669" t="s">
        <v>656</v>
      </c>
    </row>
    <row r="58" spans="1:9" ht="15" customHeight="1" x14ac:dyDescent="0.2">
      <c r="A58" s="1703"/>
      <c r="B58" s="1670"/>
      <c r="C58" s="51" t="str">
        <f>F!C122</f>
        <v xml:space="preserve">&lt;1% . In other words, all or nearly all of the AA is covered by water permanently or at least seasonally.  </v>
      </c>
      <c r="D58" s="144">
        <f>F!D122</f>
        <v>0</v>
      </c>
      <c r="E58" s="187">
        <v>5</v>
      </c>
      <c r="F58" s="187">
        <f t="shared" ref="F58:F63" si="1">D58*E58</f>
        <v>0</v>
      </c>
      <c r="G58" s="212"/>
      <c r="H58" s="1670"/>
      <c r="I58" s="1670"/>
    </row>
    <row r="59" spans="1:9" ht="15" customHeight="1" x14ac:dyDescent="0.2">
      <c r="A59" s="1703"/>
      <c r="B59" s="1670"/>
      <c r="C59" s="51" t="str">
        <f>F!C123</f>
        <v>1-25% of the AA,  or &lt;1% but &gt;0.01 ha never contains surface water.</v>
      </c>
      <c r="D59" s="144">
        <f>F!D123</f>
        <v>0</v>
      </c>
      <c r="E59" s="187">
        <v>6</v>
      </c>
      <c r="F59" s="187">
        <f t="shared" si="1"/>
        <v>0</v>
      </c>
      <c r="G59" s="212"/>
      <c r="H59" s="1670"/>
      <c r="I59" s="1670"/>
    </row>
    <row r="60" spans="1:9" ht="15" customHeight="1" x14ac:dyDescent="0.2">
      <c r="A60" s="1703"/>
      <c r="B60" s="1670"/>
      <c r="C60" s="51" t="str">
        <f>F!C124</f>
        <v>25-50% of the AA never contains surface water.</v>
      </c>
      <c r="D60" s="144">
        <f>F!D124</f>
        <v>0</v>
      </c>
      <c r="E60" s="187">
        <v>4</v>
      </c>
      <c r="F60" s="187">
        <f t="shared" si="1"/>
        <v>0</v>
      </c>
      <c r="G60" s="212"/>
      <c r="H60" s="1670"/>
      <c r="I60" s="1670"/>
    </row>
    <row r="61" spans="1:9" ht="15" customHeight="1" x14ac:dyDescent="0.2">
      <c r="A61" s="1703"/>
      <c r="B61" s="1670"/>
      <c r="C61" s="51" t="str">
        <f>F!C125</f>
        <v>50-75% of the AA never contains surface water.</v>
      </c>
      <c r="D61" s="144">
        <f>F!D125</f>
        <v>0</v>
      </c>
      <c r="E61" s="187">
        <v>3</v>
      </c>
      <c r="F61" s="187">
        <f t="shared" si="1"/>
        <v>0</v>
      </c>
      <c r="G61" s="212"/>
      <c r="H61" s="1670"/>
      <c r="I61" s="1670"/>
    </row>
    <row r="62" spans="1:9" ht="27" customHeight="1" x14ac:dyDescent="0.2">
      <c r="A62" s="1703"/>
      <c r="B62" s="1670"/>
      <c r="C62" s="51" t="str">
        <f>F!C126</f>
        <v>75-99% of the AA never contains surface water, OR &gt;99% and there is at least one persistently ponded water body larger than 1 ha in the AA.</v>
      </c>
      <c r="D62" s="144">
        <f>F!D126</f>
        <v>0</v>
      </c>
      <c r="E62" s="187">
        <v>2</v>
      </c>
      <c r="F62" s="187">
        <f t="shared" si="1"/>
        <v>0</v>
      </c>
      <c r="G62" s="212"/>
      <c r="H62" s="1670"/>
      <c r="I62" s="1670"/>
    </row>
    <row r="63" spans="1:9" ht="27" customHeight="1" thickBot="1" x14ac:dyDescent="0.25">
      <c r="A63" s="1703"/>
      <c r="B63" s="1670"/>
      <c r="C63" s="10" t="str">
        <f>F!C127</f>
        <v>99-100%. AND there is no persistently ponded water body larger than 1 ha within the AA. Enter "1" and SKIP to F42 (Channel Connection).</v>
      </c>
      <c r="D63" s="130">
        <f>F!D127</f>
        <v>0</v>
      </c>
      <c r="E63" s="190">
        <v>1</v>
      </c>
      <c r="F63" s="190">
        <f t="shared" si="1"/>
        <v>0</v>
      </c>
      <c r="G63" s="214"/>
      <c r="H63" s="1670"/>
      <c r="I63" s="1671"/>
    </row>
    <row r="64" spans="1:9" ht="45" customHeight="1" thickBot="1" x14ac:dyDescent="0.25">
      <c r="A64" s="1721" t="str">
        <f>F!A128</f>
        <v>F25</v>
      </c>
      <c r="B64" s="1669" t="str">
        <f>F!B128</f>
        <v>% of AA with Persistent Surface Water</v>
      </c>
      <c r="C64" s="55" t="str">
        <f>F!C128</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64" s="110"/>
      <c r="E64" s="191"/>
      <c r="F64" s="192"/>
      <c r="G64" s="327">
        <f>IF((AllSat1&gt;0),"",MAX(F65:F69)/MAX(E65:E69))</f>
        <v>0</v>
      </c>
      <c r="H64" s="1693" t="s">
        <v>1853</v>
      </c>
      <c r="I64" s="1669" t="s">
        <v>104</v>
      </c>
    </row>
    <row r="65" spans="1:9" ht="27" customHeight="1" x14ac:dyDescent="0.2">
      <c r="A65" s="1703"/>
      <c r="B65" s="1670"/>
      <c r="C65" s="182" t="str">
        <f>F!C129</f>
        <v>None. The AA dries up completely (no water in channels either) or never has surface water during most years.  SKIP to F27.</v>
      </c>
      <c r="D65" s="128">
        <f>F!D129</f>
        <v>0</v>
      </c>
      <c r="E65" s="186">
        <v>0</v>
      </c>
      <c r="F65" s="187">
        <f>D65*E65</f>
        <v>0</v>
      </c>
      <c r="G65" s="384"/>
      <c r="H65" s="1696"/>
      <c r="I65" s="1670"/>
    </row>
    <row r="66" spans="1:9" ht="15" customHeight="1" x14ac:dyDescent="0.2">
      <c r="A66" s="1703"/>
      <c r="B66" s="1670"/>
      <c r="C66" s="182" t="str">
        <f>F!C130</f>
        <v>1-20% of the AA.</v>
      </c>
      <c r="D66" s="128">
        <f>F!D130</f>
        <v>0</v>
      </c>
      <c r="E66" s="187">
        <v>1</v>
      </c>
      <c r="F66" s="187">
        <f>D66*E66</f>
        <v>0</v>
      </c>
      <c r="G66" s="384"/>
      <c r="H66" s="1696"/>
      <c r="I66" s="1670"/>
    </row>
    <row r="67" spans="1:9" ht="15" customHeight="1" x14ac:dyDescent="0.2">
      <c r="A67" s="1703"/>
      <c r="B67" s="1670"/>
      <c r="C67" s="182" t="str">
        <f>F!C131</f>
        <v>20-50% of the AA.</v>
      </c>
      <c r="D67" s="128">
        <f>F!D131</f>
        <v>0</v>
      </c>
      <c r="E67" s="187">
        <v>2</v>
      </c>
      <c r="F67" s="187">
        <f>D67*E67</f>
        <v>0</v>
      </c>
      <c r="G67" s="384"/>
      <c r="H67" s="1696"/>
      <c r="I67" s="1670"/>
    </row>
    <row r="68" spans="1:9" ht="15" customHeight="1" x14ac:dyDescent="0.2">
      <c r="A68" s="1703"/>
      <c r="B68" s="1670"/>
      <c r="C68" s="182" t="str">
        <f>F!C132</f>
        <v>50-95% of the AA.</v>
      </c>
      <c r="D68" s="128">
        <f>F!D132</f>
        <v>0</v>
      </c>
      <c r="E68" s="187">
        <v>3</v>
      </c>
      <c r="F68" s="187">
        <f>D68*E68</f>
        <v>0</v>
      </c>
      <c r="G68" s="384"/>
      <c r="H68" s="1696"/>
      <c r="I68" s="1670"/>
    </row>
    <row r="69" spans="1:9" ht="15" customHeight="1" thickBot="1" x14ac:dyDescent="0.25">
      <c r="A69" s="1722"/>
      <c r="B69" s="1671"/>
      <c r="C69" s="242" t="str">
        <f>F!C133</f>
        <v>&gt;95% of the AA. True for many fringe wetlands.</v>
      </c>
      <c r="D69" s="84">
        <f>F!D133</f>
        <v>0</v>
      </c>
      <c r="E69" s="204">
        <v>4</v>
      </c>
      <c r="F69" s="188">
        <f>D69*E69</f>
        <v>0</v>
      </c>
      <c r="G69" s="385"/>
      <c r="H69" s="1712"/>
      <c r="I69" s="1671"/>
    </row>
    <row r="70" spans="1:9" ht="30" customHeight="1" thickBot="1" x14ac:dyDescent="0.25">
      <c r="A70" s="1853" t="str">
        <f>F!A140</f>
        <v>F27</v>
      </c>
      <c r="B70" s="1670" t="str">
        <f>F!B140</f>
        <v>% of AA that is Flooded Only Seasonally</v>
      </c>
      <c r="C70" s="184" t="str">
        <f>F!C140</f>
        <v>The percentage of the AA's area that is between the annual high water and the annual low water (surface water) is:</v>
      </c>
      <c r="D70" s="38"/>
      <c r="E70" s="186"/>
      <c r="F70" s="189"/>
      <c r="G70" s="297">
        <f>IF((AllSat1&gt;0),"",MAX(F71:F75)/MAX(E71:E75))</f>
        <v>0</v>
      </c>
      <c r="H70" s="1696" t="s">
        <v>1854</v>
      </c>
      <c r="I70" s="1670" t="s">
        <v>102</v>
      </c>
    </row>
    <row r="71" spans="1:9" ht="16.899999999999999" customHeight="1" x14ac:dyDescent="0.2">
      <c r="A71" s="1853"/>
      <c r="B71" s="1670"/>
      <c r="C71" s="243" t="str">
        <f>F!C141</f>
        <v>None, or &lt;0.01 hectare and &lt;1% of the AA.  SKIP to F29.</v>
      </c>
      <c r="D71" s="129">
        <f>F!D141</f>
        <v>0</v>
      </c>
      <c r="E71" s="187">
        <v>3</v>
      </c>
      <c r="F71" s="187">
        <f>D71*E71</f>
        <v>0</v>
      </c>
      <c r="G71" s="383"/>
      <c r="H71" s="1696"/>
      <c r="I71" s="1670"/>
    </row>
    <row r="72" spans="1:9" ht="16.899999999999999" customHeight="1" x14ac:dyDescent="0.2">
      <c r="A72" s="1853"/>
      <c r="B72" s="1670"/>
      <c r="C72" s="244" t="str">
        <f>F!C142</f>
        <v>1-20% of the AA, or &lt;1% but &gt;0.01 ha.</v>
      </c>
      <c r="D72" s="33">
        <f>F!D142</f>
        <v>0</v>
      </c>
      <c r="E72" s="187">
        <v>4</v>
      </c>
      <c r="F72" s="187">
        <f>D72*E72</f>
        <v>0</v>
      </c>
      <c r="G72" s="384"/>
      <c r="H72" s="1696"/>
      <c r="I72" s="1670"/>
    </row>
    <row r="73" spans="1:9" ht="16.899999999999999" customHeight="1" x14ac:dyDescent="0.2">
      <c r="A73" s="1853"/>
      <c r="B73" s="1670"/>
      <c r="C73" s="244" t="str">
        <f>F!C143</f>
        <v>20-50% of the AA.</v>
      </c>
      <c r="D73" s="33">
        <f>F!D143</f>
        <v>0</v>
      </c>
      <c r="E73" s="187">
        <v>3</v>
      </c>
      <c r="F73" s="187">
        <f>D73*E73</f>
        <v>0</v>
      </c>
      <c r="G73" s="384"/>
      <c r="H73" s="1696"/>
      <c r="I73" s="1670"/>
    </row>
    <row r="74" spans="1:9" ht="16.899999999999999" customHeight="1" x14ac:dyDescent="0.2">
      <c r="A74" s="1853"/>
      <c r="B74" s="1670"/>
      <c r="C74" s="244" t="str">
        <f>F!C144</f>
        <v>50-95% of the AA.</v>
      </c>
      <c r="D74" s="33">
        <f>F!D144</f>
        <v>0</v>
      </c>
      <c r="E74" s="187">
        <v>2</v>
      </c>
      <c r="F74" s="187">
        <f>D74*E74</f>
        <v>0</v>
      </c>
      <c r="G74" s="384"/>
      <c r="H74" s="1696"/>
      <c r="I74" s="1670"/>
    </row>
    <row r="75" spans="1:9" ht="34.5" customHeight="1" thickBot="1" x14ac:dyDescent="0.25">
      <c r="A75" s="1853"/>
      <c r="B75" s="1670"/>
      <c r="C75" s="182" t="str">
        <f>F!C145</f>
        <v xml:space="preserve">&gt;95% of the AA. </v>
      </c>
      <c r="D75" s="128">
        <f>F!D145</f>
        <v>0</v>
      </c>
      <c r="E75" s="190">
        <v>1</v>
      </c>
      <c r="F75" s="190">
        <f>D75*E75</f>
        <v>0</v>
      </c>
      <c r="G75" s="391"/>
      <c r="H75" s="1696"/>
      <c r="I75" s="1670"/>
    </row>
    <row r="76" spans="1:9" ht="30" customHeight="1" thickBot="1" x14ac:dyDescent="0.25">
      <c r="A76" s="1669" t="str">
        <f>F!A146</f>
        <v>F28</v>
      </c>
      <c r="B76" s="1669" t="str">
        <f>F!B146</f>
        <v>Annual Water Fluctuation Range</v>
      </c>
      <c r="C76" s="240" t="str">
        <f>F!C146</f>
        <v>The annual fluctuation in surface water level within most of the parts of the AA that contain surface water at least temporarily is:</v>
      </c>
      <c r="D76" s="110"/>
      <c r="E76" s="191"/>
      <c r="F76" s="192"/>
      <c r="G76" s="291">
        <f>IF((AllSat1&gt;0),"",IF((NoSeasonal=1),"",MAX(F77:F81)/MAX(E77:E81)))</f>
        <v>0</v>
      </c>
      <c r="H76" s="1669" t="s">
        <v>1855</v>
      </c>
      <c r="I76" s="1669" t="s">
        <v>107</v>
      </c>
    </row>
    <row r="77" spans="1:9" ht="16.899999999999999" customHeight="1" x14ac:dyDescent="0.2">
      <c r="A77" s="1670"/>
      <c r="B77" s="1670"/>
      <c r="C77" s="14" t="str">
        <f>F!C147</f>
        <v>&lt;10 cm change (stable or nearly so).</v>
      </c>
      <c r="D77" s="129">
        <f>F!D147</f>
        <v>0</v>
      </c>
      <c r="E77" s="187">
        <v>3</v>
      </c>
      <c r="F77" s="187">
        <f>D77*E77</f>
        <v>0</v>
      </c>
      <c r="G77" s="383"/>
      <c r="H77" s="1670"/>
      <c r="I77" s="1670"/>
    </row>
    <row r="78" spans="1:9" ht="16.899999999999999" customHeight="1" x14ac:dyDescent="0.2">
      <c r="A78" s="1670"/>
      <c r="B78" s="1670"/>
      <c r="C78" s="4" t="str">
        <f>F!C148</f>
        <v>10 cm - 50 cm change.</v>
      </c>
      <c r="D78" s="33">
        <f>F!D148</f>
        <v>0</v>
      </c>
      <c r="E78" s="187">
        <v>4</v>
      </c>
      <c r="F78" s="187">
        <f>D78*E78</f>
        <v>0</v>
      </c>
      <c r="G78" s="384"/>
      <c r="H78" s="1670"/>
      <c r="I78" s="1670"/>
    </row>
    <row r="79" spans="1:9" ht="16.899999999999999" customHeight="1" x14ac:dyDescent="0.2">
      <c r="A79" s="1670"/>
      <c r="B79" s="1670"/>
      <c r="C79" s="4" t="str">
        <f>F!C149</f>
        <v>0.5 - 1 m change.</v>
      </c>
      <c r="D79" s="33">
        <f>F!D149</f>
        <v>0</v>
      </c>
      <c r="E79" s="187">
        <v>2</v>
      </c>
      <c r="F79" s="187">
        <f>D79*E79</f>
        <v>0</v>
      </c>
      <c r="G79" s="384"/>
      <c r="H79" s="1670"/>
      <c r="I79" s="1670"/>
    </row>
    <row r="80" spans="1:9" ht="16.899999999999999" customHeight="1" x14ac:dyDescent="0.2">
      <c r="A80" s="1670"/>
      <c r="B80" s="1670"/>
      <c r="C80" s="4" t="str">
        <f>F!C150</f>
        <v>1-2 m change.</v>
      </c>
      <c r="D80" s="33">
        <f>F!D150</f>
        <v>0</v>
      </c>
      <c r="E80" s="187">
        <v>1</v>
      </c>
      <c r="F80" s="187">
        <f>D80*E80</f>
        <v>0</v>
      </c>
      <c r="G80" s="405"/>
      <c r="H80" s="1925"/>
      <c r="I80" s="1670"/>
    </row>
    <row r="81" spans="1:9" ht="16.899999999999999" customHeight="1" thickBot="1" x14ac:dyDescent="0.25">
      <c r="A81" s="1671"/>
      <c r="B81" s="1671"/>
      <c r="C81" s="85" t="str">
        <f>F!C151</f>
        <v>&gt;2 m change.</v>
      </c>
      <c r="D81" s="84">
        <f>F!D151</f>
        <v>0</v>
      </c>
      <c r="E81" s="188">
        <v>0</v>
      </c>
      <c r="F81" s="188">
        <f>D81*E81</f>
        <v>0</v>
      </c>
      <c r="G81" s="406"/>
      <c r="H81" s="1936"/>
      <c r="I81" s="1671"/>
    </row>
    <row r="82" spans="1:9" ht="30" customHeight="1" thickBot="1" x14ac:dyDescent="0.25">
      <c r="A82" s="1721" t="str">
        <f>F!A153</f>
        <v>F29</v>
      </c>
      <c r="B82" s="1670" t="str">
        <f>F!B153</f>
        <v>Predominant Depth Class</v>
      </c>
      <c r="C82" s="245" t="str">
        <f>F!C153</f>
        <v>During most of the time when surface water is present during the growing season, its depth, averaged over the entire inundated part of the AA, is:</v>
      </c>
      <c r="D82" s="38"/>
      <c r="E82" s="186"/>
      <c r="F82" s="189"/>
      <c r="G82" s="297">
        <f>IF((AllSat1&gt;0),"",MAX(F83:F87)/MAX(E83:E87))</f>
        <v>0</v>
      </c>
      <c r="H82" s="1696" t="s">
        <v>1183</v>
      </c>
      <c r="I82" s="1669" t="s">
        <v>108</v>
      </c>
    </row>
    <row r="83" spans="1:9" ht="15" customHeight="1" x14ac:dyDescent="0.2">
      <c r="A83" s="1703"/>
      <c r="B83" s="1670"/>
      <c r="C83" s="14" t="str">
        <f>F!C154</f>
        <v>&lt;10 cm deep (but &gt;0).</v>
      </c>
      <c r="D83" s="129">
        <f>F!D154</f>
        <v>0</v>
      </c>
      <c r="E83" s="187">
        <v>3</v>
      </c>
      <c r="F83" s="187">
        <f>D83*E83</f>
        <v>0</v>
      </c>
      <c r="G83" s="383"/>
      <c r="H83" s="1696"/>
      <c r="I83" s="1670"/>
    </row>
    <row r="84" spans="1:9" ht="15" customHeight="1" x14ac:dyDescent="0.2">
      <c r="A84" s="1703"/>
      <c r="B84" s="1670"/>
      <c r="C84" s="4" t="str">
        <f>F!C155</f>
        <v>10 - 50 cm deep.</v>
      </c>
      <c r="D84" s="33">
        <f>F!D155</f>
        <v>0</v>
      </c>
      <c r="E84" s="187">
        <v>5</v>
      </c>
      <c r="F84" s="187">
        <f>D84*E84</f>
        <v>0</v>
      </c>
      <c r="G84" s="384"/>
      <c r="H84" s="1696"/>
      <c r="I84" s="1670"/>
    </row>
    <row r="85" spans="1:9" ht="15" customHeight="1" x14ac:dyDescent="0.2">
      <c r="A85" s="1703"/>
      <c r="B85" s="1670"/>
      <c r="C85" s="4" t="str">
        <f>F!C156</f>
        <v>0.5 - 1 m deep.</v>
      </c>
      <c r="D85" s="33">
        <f>F!D156</f>
        <v>0</v>
      </c>
      <c r="E85" s="187">
        <v>4</v>
      </c>
      <c r="F85" s="187">
        <f>D85*E85</f>
        <v>0</v>
      </c>
      <c r="G85" s="384"/>
      <c r="H85" s="1696"/>
      <c r="I85" s="1670"/>
    </row>
    <row r="86" spans="1:9" ht="15" customHeight="1" x14ac:dyDescent="0.2">
      <c r="A86" s="1703"/>
      <c r="B86" s="1670"/>
      <c r="C86" s="4" t="str">
        <f>F!C157</f>
        <v>1 - 2 m deep.</v>
      </c>
      <c r="D86" s="33">
        <f>F!D157</f>
        <v>0</v>
      </c>
      <c r="E86" s="187">
        <v>2</v>
      </c>
      <c r="F86" s="187">
        <f>D86*E86</f>
        <v>0</v>
      </c>
      <c r="G86" s="384"/>
      <c r="H86" s="1696"/>
      <c r="I86" s="1670"/>
    </row>
    <row r="87" spans="1:9" ht="15" customHeight="1" thickBot="1" x14ac:dyDescent="0.25">
      <c r="A87" s="1722"/>
      <c r="B87" s="1671"/>
      <c r="C87" s="85" t="str">
        <f>F!C158</f>
        <v>&gt;2 m deep. True for many fringe wetlands.</v>
      </c>
      <c r="D87" s="84">
        <f>F!D158</f>
        <v>0</v>
      </c>
      <c r="E87" s="188">
        <v>1</v>
      </c>
      <c r="F87" s="188">
        <f>D87*E87</f>
        <v>0</v>
      </c>
      <c r="G87" s="385"/>
      <c r="H87" s="1712"/>
      <c r="I87" s="1671"/>
    </row>
    <row r="88" spans="1:9" ht="21" customHeight="1" thickBot="1" x14ac:dyDescent="0.25">
      <c r="A88" s="1872" t="str">
        <f>F!A159</f>
        <v>F30</v>
      </c>
      <c r="B88" s="1667" t="str">
        <f>F!B159</f>
        <v>Depth Classes - Evenness of Proportions</v>
      </c>
      <c r="C88" s="411" t="str">
        <f>F!C159</f>
        <v>When present, surface water in most of the AA usually consists of (select one):</v>
      </c>
      <c r="D88" s="110"/>
      <c r="E88" s="186"/>
      <c r="F88" s="189"/>
      <c r="G88" s="328">
        <f>IF((AllSat1&gt;0),"",MAX(F89:F91)/MAX(E89:E91))</f>
        <v>0</v>
      </c>
      <c r="H88" s="1667" t="s">
        <v>1856</v>
      </c>
      <c r="I88" s="1669" t="s">
        <v>1029</v>
      </c>
    </row>
    <row r="89" spans="1:9" ht="15" customHeight="1" x14ac:dyDescent="0.2">
      <c r="A89" s="1872"/>
      <c r="B89" s="1667"/>
      <c r="C89" s="324" t="str">
        <f>F!C160</f>
        <v xml:space="preserve">One depth class that comprises &gt;90% of the AA’s inundated area (use the classes in the question above). </v>
      </c>
      <c r="D89" s="131">
        <f>F!D160</f>
        <v>0</v>
      </c>
      <c r="E89" s="187">
        <v>0</v>
      </c>
      <c r="F89" s="187">
        <f>D89*E89</f>
        <v>0</v>
      </c>
      <c r="G89" s="383"/>
      <c r="H89" s="1670"/>
      <c r="I89" s="1670"/>
    </row>
    <row r="90" spans="1:9" ht="15" customHeight="1" x14ac:dyDescent="0.2">
      <c r="A90" s="1872"/>
      <c r="B90" s="1667"/>
      <c r="C90" s="325" t="str">
        <f>F!C161</f>
        <v>One depth class that comprises 50-90% of the AA's inundated area.</v>
      </c>
      <c r="D90" s="132">
        <f>F!D161</f>
        <v>0</v>
      </c>
      <c r="E90" s="187">
        <v>1</v>
      </c>
      <c r="F90" s="187">
        <f>D90*E90</f>
        <v>0</v>
      </c>
      <c r="G90" s="384"/>
      <c r="H90" s="1670"/>
      <c r="I90" s="1670"/>
    </row>
    <row r="91" spans="1:9" ht="15" customHeight="1" thickBot="1" x14ac:dyDescent="0.25">
      <c r="A91" s="1872"/>
      <c r="B91" s="1667"/>
      <c r="C91" s="326" t="str">
        <f>F!C162</f>
        <v>Neither of above. There are 3 or more depth classes and none occupy &gt;50%.</v>
      </c>
      <c r="D91" s="133">
        <f>F!D162</f>
        <v>0</v>
      </c>
      <c r="E91" s="190">
        <v>2</v>
      </c>
      <c r="F91" s="190">
        <f>D91*E91</f>
        <v>0</v>
      </c>
      <c r="G91" s="391"/>
      <c r="H91" s="1670"/>
      <c r="I91" s="1671"/>
    </row>
    <row r="92" spans="1:9" ht="45" customHeight="1" thickBot="1" x14ac:dyDescent="0.25">
      <c r="A92" s="1862" t="str">
        <f>F!A163</f>
        <v>F31</v>
      </c>
      <c r="B92" s="1669" t="str">
        <f>F!B163</f>
        <v>% of Water That Is Ponded (not Flowing)</v>
      </c>
      <c r="C92" s="240" t="str">
        <f>F!C163</f>
        <v>During most times when surface water is present, the percentage that is (1) ponded (stagnant, or flows so slowly that fine sediment is not held in suspension) AND (2) is likely to be deeper than 0.5 m in some places, is:</v>
      </c>
      <c r="D92" s="110"/>
      <c r="E92" s="191"/>
      <c r="F92" s="192"/>
      <c r="G92" s="327">
        <f>IF((AllSat1&gt;0),"",MAX(F93:F97)/MAX(E93:E97))</f>
        <v>0</v>
      </c>
      <c r="H92" s="1693" t="s">
        <v>2239</v>
      </c>
      <c r="I92" s="1669" t="s">
        <v>106</v>
      </c>
    </row>
    <row r="93" spans="1:9" ht="15" customHeight="1" x14ac:dyDescent="0.2">
      <c r="A93" s="1703"/>
      <c r="B93" s="1670"/>
      <c r="C93" s="14" t="str">
        <f>F!C164</f>
        <v>&lt;5% of the water, or it occupies &lt;100 sq.m cumulatively. Nearly all the surface water is flowing. SKIP to F34.</v>
      </c>
      <c r="D93" s="145">
        <f>F!D164</f>
        <v>0</v>
      </c>
      <c r="E93" s="187">
        <v>1</v>
      </c>
      <c r="F93" s="187">
        <f>D93*E93</f>
        <v>0</v>
      </c>
      <c r="G93" s="384"/>
      <c r="H93" s="1696"/>
      <c r="I93" s="1670"/>
    </row>
    <row r="94" spans="1:9" ht="15" customHeight="1" x14ac:dyDescent="0.2">
      <c r="A94" s="1703"/>
      <c r="B94" s="1670"/>
      <c r="C94" s="4" t="str">
        <f>F!C165</f>
        <v>5-30% of the water.</v>
      </c>
      <c r="D94" s="146">
        <f>F!D165</f>
        <v>0</v>
      </c>
      <c r="E94" s="187">
        <v>2</v>
      </c>
      <c r="F94" s="187">
        <f>D94*E94</f>
        <v>0</v>
      </c>
      <c r="G94" s="384"/>
      <c r="H94" s="1696"/>
      <c r="I94" s="1670"/>
    </row>
    <row r="95" spans="1:9" ht="15" customHeight="1" x14ac:dyDescent="0.2">
      <c r="A95" s="1703"/>
      <c r="B95" s="1670"/>
      <c r="C95" s="4" t="str">
        <f>F!C166</f>
        <v>30-70% of the water.</v>
      </c>
      <c r="D95" s="146">
        <f>F!D166</f>
        <v>0</v>
      </c>
      <c r="E95" s="187">
        <v>3</v>
      </c>
      <c r="F95" s="187">
        <f>D95*E95</f>
        <v>0</v>
      </c>
      <c r="G95" s="391"/>
      <c r="H95" s="1696"/>
      <c r="I95" s="1670"/>
    </row>
    <row r="96" spans="1:9" ht="15" customHeight="1" x14ac:dyDescent="0.2">
      <c r="A96" s="1703"/>
      <c r="B96" s="1670"/>
      <c r="C96" s="4" t="str">
        <f>F!C167</f>
        <v>70-95% of the water.</v>
      </c>
      <c r="D96" s="146">
        <f>F!D167</f>
        <v>0</v>
      </c>
      <c r="E96" s="187">
        <v>4</v>
      </c>
      <c r="F96" s="187">
        <f>D96*E96</f>
        <v>0</v>
      </c>
      <c r="G96" s="391"/>
      <c r="H96" s="1696"/>
      <c r="I96" s="1670"/>
    </row>
    <row r="97" spans="1:9" ht="15" customHeight="1" thickBot="1" x14ac:dyDescent="0.25">
      <c r="A97" s="1722"/>
      <c r="B97" s="1671"/>
      <c r="C97" s="85" t="str">
        <f>F!C168</f>
        <v>&gt;95% of the water.</v>
      </c>
      <c r="D97" s="147">
        <f>F!D168</f>
        <v>0</v>
      </c>
      <c r="E97" s="188">
        <v>2</v>
      </c>
      <c r="F97" s="188">
        <f>D97*E97</f>
        <v>0</v>
      </c>
      <c r="G97" s="385"/>
      <c r="H97" s="1712"/>
      <c r="I97" s="1671"/>
    </row>
    <row r="98" spans="1:9" ht="30" customHeight="1" thickBot="1" x14ac:dyDescent="0.25">
      <c r="A98" s="2008" t="str">
        <f>F!A170</f>
        <v>F33</v>
      </c>
      <c r="B98" s="1806" t="str">
        <f>F!B170</f>
        <v xml:space="preserve">% of Ponded Water that is Open </v>
      </c>
      <c r="C98" s="3" t="str">
        <f>F!C170</f>
        <v>In ducks-eye aerial view, the percentage of the ponded water that is open (lacking emergent vegetation during most of the growing season, and unhidden by a forest or shrub canopy) is:</v>
      </c>
      <c r="D98" s="110"/>
      <c r="E98" s="191"/>
      <c r="F98" s="192"/>
      <c r="G98" s="327">
        <f>IF((AllSat1&gt;0),"",IF((NoPonded=1),"",MAX(F99:F104)/MAX(E99:E104)))</f>
        <v>0</v>
      </c>
      <c r="H98" s="1693" t="s">
        <v>1857</v>
      </c>
      <c r="I98" s="1669" t="s">
        <v>105</v>
      </c>
    </row>
    <row r="99" spans="1:9" ht="27" customHeight="1" x14ac:dyDescent="0.2">
      <c r="A99" s="1893"/>
      <c r="B99" s="1670"/>
      <c r="C99" s="222" t="str">
        <f>F!C171</f>
        <v>None, or &lt;1% of the AA and largest pool occupies &lt;0.01 hectares. Enter "1" and SKIP to F41 (Floating Algae &amp; Duckweed).</v>
      </c>
      <c r="D99" s="128">
        <f>F!D171</f>
        <v>0</v>
      </c>
      <c r="E99" s="187">
        <v>1</v>
      </c>
      <c r="F99" s="187">
        <f t="shared" ref="F99:F104" si="2">D99*E99</f>
        <v>0</v>
      </c>
      <c r="G99" s="383"/>
      <c r="H99" s="1696"/>
      <c r="I99" s="1670"/>
    </row>
    <row r="100" spans="1:9" ht="15" customHeight="1" x14ac:dyDescent="0.2">
      <c r="A100" s="1893"/>
      <c r="B100" s="1670"/>
      <c r="C100" s="241" t="str">
        <f>F!C172</f>
        <v>1-4% of the ponded water. Enter "1" and SKIP to F41 (Floating Algae &amp; Duckweed).</v>
      </c>
      <c r="D100" s="128">
        <f>F!D172</f>
        <v>0</v>
      </c>
      <c r="E100" s="187">
        <v>3</v>
      </c>
      <c r="F100" s="187">
        <f t="shared" si="2"/>
        <v>0</v>
      </c>
      <c r="G100" s="384"/>
      <c r="H100" s="1696"/>
      <c r="I100" s="1670"/>
    </row>
    <row r="101" spans="1:9" ht="15" customHeight="1" x14ac:dyDescent="0.2">
      <c r="A101" s="1893"/>
      <c r="B101" s="1670"/>
      <c r="C101" s="241" t="str">
        <f>F!C173</f>
        <v>5-30% of the ponded water.</v>
      </c>
      <c r="D101" s="128">
        <f>F!D173</f>
        <v>0</v>
      </c>
      <c r="E101" s="187">
        <v>4</v>
      </c>
      <c r="F101" s="187">
        <f t="shared" si="2"/>
        <v>0</v>
      </c>
      <c r="G101" s="384"/>
      <c r="H101" s="1696"/>
      <c r="I101" s="1670"/>
    </row>
    <row r="102" spans="1:9" ht="15" customHeight="1" x14ac:dyDescent="0.2">
      <c r="A102" s="1893"/>
      <c r="B102" s="1670"/>
      <c r="C102" s="241" t="str">
        <f>F!C174</f>
        <v>30-70% of the ponded water.</v>
      </c>
      <c r="D102" s="128">
        <f>F!D174</f>
        <v>0</v>
      </c>
      <c r="E102" s="187">
        <v>6</v>
      </c>
      <c r="F102" s="187">
        <f t="shared" si="2"/>
        <v>0</v>
      </c>
      <c r="G102" s="384"/>
      <c r="H102" s="1696"/>
      <c r="I102" s="1670"/>
    </row>
    <row r="103" spans="1:9" ht="15" customHeight="1" x14ac:dyDescent="0.2">
      <c r="A103" s="1893"/>
      <c r="B103" s="1670"/>
      <c r="C103" s="241" t="str">
        <f>F!C175</f>
        <v>70-99% of the ponded water.</v>
      </c>
      <c r="D103" s="128">
        <f>F!D175</f>
        <v>0</v>
      </c>
      <c r="E103" s="187">
        <v>2</v>
      </c>
      <c r="F103" s="187">
        <f t="shared" si="2"/>
        <v>0</v>
      </c>
      <c r="G103" s="391"/>
      <c r="H103" s="1696"/>
      <c r="I103" s="1670"/>
    </row>
    <row r="104" spans="1:9" ht="15" customHeight="1" thickBot="1" x14ac:dyDescent="0.25">
      <c r="A104" s="1894"/>
      <c r="B104" s="1671"/>
      <c r="C104" s="241" t="str">
        <f>F!C176</f>
        <v xml:space="preserve">100% of the ponded water. </v>
      </c>
      <c r="D104" s="128">
        <f>F!D176</f>
        <v>0</v>
      </c>
      <c r="E104" s="190">
        <v>0</v>
      </c>
      <c r="F104" s="190">
        <f t="shared" si="2"/>
        <v>0</v>
      </c>
      <c r="G104" s="391"/>
      <c r="H104" s="1712"/>
      <c r="I104" s="1671"/>
    </row>
    <row r="105" spans="1:9" ht="33.75" customHeight="1" thickBot="1" x14ac:dyDescent="0.25">
      <c r="A105" s="1721" t="str">
        <f>F!A195</f>
        <v>F37</v>
      </c>
      <c r="B105" s="1669" t="str">
        <f>F!B195</f>
        <v>Interspersion of Emergents &amp; Open Water</v>
      </c>
      <c r="C105" s="55" t="str">
        <f>F!C195</f>
        <v>During most of the part of the growing season when water is present, the spatial pattern of emergent vegetation within the water is mostly:</v>
      </c>
      <c r="D105" s="110"/>
      <c r="E105" s="191"/>
      <c r="F105" s="192"/>
      <c r="G105" s="400">
        <f>IF((AllSat1&gt;0),"",IF((NoPonded=1),"",IF((NoOpenPonded+NoOpenPonded1&gt;0),"",IF((AllOpenPond=1),"",IF((NoRobustEm=1),"",MAX(F106:F108)/MAX(E106:E108))))))</f>
        <v>0</v>
      </c>
      <c r="H105" s="1670" t="s">
        <v>1858</v>
      </c>
      <c r="I105" s="1669" t="s">
        <v>109</v>
      </c>
    </row>
    <row r="106" spans="1:9" ht="15" customHeight="1" x14ac:dyDescent="0.2">
      <c r="A106" s="1703"/>
      <c r="B106" s="1670"/>
      <c r="C106" s="243" t="str">
        <f>F!C196</f>
        <v>Scattered. More than 30% of such vegetation forms small islands or corridors surrounded by water.</v>
      </c>
      <c r="D106" s="129">
        <f>F!D196</f>
        <v>0</v>
      </c>
      <c r="E106" s="187">
        <v>3</v>
      </c>
      <c r="F106" s="187">
        <f>D106*E106</f>
        <v>0</v>
      </c>
      <c r="G106" s="449"/>
      <c r="H106" s="1670"/>
      <c r="I106" s="1670"/>
    </row>
    <row r="107" spans="1:9" ht="15" customHeight="1" x14ac:dyDescent="0.2">
      <c r="A107" s="1703"/>
      <c r="B107" s="1670"/>
      <c r="C107" s="244" t="str">
        <f>F!C197</f>
        <v>Intermediate.</v>
      </c>
      <c r="D107" s="33">
        <f>F!D197</f>
        <v>0</v>
      </c>
      <c r="E107" s="187">
        <v>2</v>
      </c>
      <c r="F107" s="187">
        <f>D107*E107</f>
        <v>0</v>
      </c>
      <c r="G107" s="449"/>
      <c r="H107" s="1670"/>
      <c r="I107" s="1670"/>
    </row>
    <row r="108" spans="1:9" ht="27" customHeight="1" thickBot="1" x14ac:dyDescent="0.25">
      <c r="A108" s="1722"/>
      <c r="B108" s="1671"/>
      <c r="C108" s="242" t="str">
        <f>F!C198</f>
        <v>Clumped. More than 70% of such vegetation is in bands along the wetland perimeter or is clumped at one or a few sides of the surface water area.</v>
      </c>
      <c r="D108" s="84">
        <f>F!D198</f>
        <v>0</v>
      </c>
      <c r="E108" s="188">
        <v>1</v>
      </c>
      <c r="F108" s="188">
        <f>D108*E108</f>
        <v>0</v>
      </c>
      <c r="G108" s="450"/>
      <c r="H108" s="1670"/>
      <c r="I108" s="1671"/>
    </row>
    <row r="109" spans="1:9" ht="69.75" customHeight="1" thickBot="1" x14ac:dyDescent="0.25">
      <c r="A109" s="1669" t="str">
        <f>F!A200</f>
        <v>F39</v>
      </c>
      <c r="B109" s="1669" t="str">
        <f>F!B200</f>
        <v>Non-vegetated Aquatic Cover</v>
      </c>
      <c r="C109" s="55" t="str">
        <f>F!C200</f>
        <v>During most of the growing season and in waters deeper than 0.5 m, the cover for fish, aquatic invertebrates, and/or amphibians that is provided NOT by living vegetation, but by accumulations of dead wood and undercut banks is:</v>
      </c>
      <c r="D109" s="110"/>
      <c r="E109" s="191"/>
      <c r="F109" s="191"/>
      <c r="G109" s="327" t="str">
        <f>IF((AllSat1&gt;0),"",IF((OpenW=0),"",IF((DeepPersis=0),"",MAX(F110:F112)/MAX(E110:E112))))</f>
        <v/>
      </c>
      <c r="H109" s="1669" t="s">
        <v>1859</v>
      </c>
      <c r="I109" s="1669" t="s">
        <v>103</v>
      </c>
    </row>
    <row r="110" spans="1:9" ht="24" customHeight="1" x14ac:dyDescent="0.2">
      <c r="A110" s="1670"/>
      <c r="B110" s="1670"/>
      <c r="C110" s="243" t="str">
        <f>F!C201</f>
        <v>Little or none.</v>
      </c>
      <c r="D110" s="129">
        <f>F!D201</f>
        <v>0</v>
      </c>
      <c r="E110" s="187">
        <v>0</v>
      </c>
      <c r="F110" s="187">
        <f>D110*E110</f>
        <v>0</v>
      </c>
      <c r="G110" s="384"/>
      <c r="H110" s="1670"/>
      <c r="I110" s="1670"/>
    </row>
    <row r="111" spans="1:9" ht="24" customHeight="1" x14ac:dyDescent="0.2">
      <c r="A111" s="1670"/>
      <c r="B111" s="1670"/>
      <c r="C111" s="244" t="str">
        <f>F!C202</f>
        <v>Intermediate.</v>
      </c>
      <c r="D111" s="33">
        <f>F!D202</f>
        <v>0</v>
      </c>
      <c r="E111" s="187">
        <v>1</v>
      </c>
      <c r="F111" s="187">
        <f>D111*E111</f>
        <v>0</v>
      </c>
      <c r="G111" s="384"/>
      <c r="H111" s="1670"/>
      <c r="I111" s="1670"/>
    </row>
    <row r="112" spans="1:9" ht="24" customHeight="1" thickBot="1" x14ac:dyDescent="0.25">
      <c r="A112" s="1671"/>
      <c r="B112" s="1671"/>
      <c r="C112" s="242" t="str">
        <f>F!C203</f>
        <v>Extensive.</v>
      </c>
      <c r="D112" s="84">
        <f>F!D203</f>
        <v>0</v>
      </c>
      <c r="E112" s="188">
        <v>2</v>
      </c>
      <c r="F112" s="188">
        <f>D112*E112</f>
        <v>0</v>
      </c>
      <c r="G112" s="385"/>
      <c r="H112" s="1671"/>
      <c r="I112" s="1671"/>
    </row>
    <row r="113" spans="1:9" ht="30" customHeight="1" thickBot="1" x14ac:dyDescent="0.25">
      <c r="A113" s="1721" t="str">
        <f>F!A218</f>
        <v>F46</v>
      </c>
      <c r="B113" s="1669" t="str">
        <f>F!B218</f>
        <v>Throughflow Resistance</v>
      </c>
      <c r="C113" s="240" t="str">
        <f>F!C218</f>
        <v>During its travel through the AA at the time of peak annual flow, water arriving in channels: [select only the ONE encountered by most of the incoming water].</v>
      </c>
      <c r="D113" s="110"/>
      <c r="E113" s="191"/>
      <c r="F113" s="192"/>
      <c r="G113" s="327">
        <f>IF(AND(Inflows=0,OutNone=1,OutNone1=1),"",MAX(F114:F118)/MAX(E114:E118))</f>
        <v>0</v>
      </c>
      <c r="H113" s="1693" t="s">
        <v>1860</v>
      </c>
      <c r="I113" s="1669" t="s">
        <v>110</v>
      </c>
    </row>
    <row r="114" spans="1:9" ht="42" customHeight="1" x14ac:dyDescent="0.2">
      <c r="A114" s="1703"/>
      <c r="B114" s="1670"/>
      <c r="C114" s="14" t="str">
        <f>F!C219</f>
        <v>Does not bump into many plant stems as it travels through the AA. Nearly all the water continues to travel in unvegetated (often incised) channels that have minimal contact with wetland vegetation, or through a zone of open water such as an instream pond or lake.</v>
      </c>
      <c r="D114" s="129">
        <f>F!D219</f>
        <v>0</v>
      </c>
      <c r="E114" s="186">
        <v>0</v>
      </c>
      <c r="F114" s="186">
        <f>D114*E114</f>
        <v>0</v>
      </c>
      <c r="G114" s="383"/>
      <c r="H114" s="1696"/>
      <c r="I114" s="1670"/>
    </row>
    <row r="115" spans="1:9" ht="15" customHeight="1" x14ac:dyDescent="0.2">
      <c r="A115" s="1703"/>
      <c r="B115" s="1670"/>
      <c r="C115" s="4" t="str">
        <f>F!C220</f>
        <v>Bumps into herbaceous vegetation but mostly remains in fairly straight channels.</v>
      </c>
      <c r="D115" s="33">
        <f>F!D220</f>
        <v>0</v>
      </c>
      <c r="E115" s="187">
        <v>1</v>
      </c>
      <c r="F115" s="187">
        <f>D115*E115</f>
        <v>0</v>
      </c>
      <c r="G115" s="384"/>
      <c r="H115" s="1696"/>
      <c r="I115" s="1670"/>
    </row>
    <row r="116" spans="1:9" ht="27" customHeight="1" x14ac:dyDescent="0.2">
      <c r="A116" s="1703"/>
      <c r="B116" s="1670"/>
      <c r="C116" s="4" t="str">
        <f>F!C221</f>
        <v>Bumps into herbaceous vegetation and mostly spreads throughout, or is in widely meandering, multi-branched, or braided channels.</v>
      </c>
      <c r="D116" s="33">
        <f>F!D221</f>
        <v>0</v>
      </c>
      <c r="E116" s="187">
        <v>2</v>
      </c>
      <c r="F116" s="187">
        <f>D116*E116</f>
        <v>0</v>
      </c>
      <c r="G116" s="384"/>
      <c r="H116" s="1696"/>
      <c r="I116" s="1670"/>
    </row>
    <row r="117" spans="1:9" ht="15" customHeight="1" x14ac:dyDescent="0.2">
      <c r="A117" s="1703"/>
      <c r="B117" s="1670"/>
      <c r="C117" s="4" t="str">
        <f>F!C222</f>
        <v>Bumps into tree trunks and/or shrub stems but mostly remains in fairly straight channels.</v>
      </c>
      <c r="D117" s="33">
        <f>F!D222</f>
        <v>0</v>
      </c>
      <c r="E117" s="187">
        <v>1</v>
      </c>
      <c r="F117" s="187">
        <f>D117*E117</f>
        <v>0</v>
      </c>
      <c r="G117" s="384"/>
      <c r="H117" s="1696"/>
      <c r="I117" s="1670"/>
    </row>
    <row r="118" spans="1:9" ht="27" customHeight="1" thickBot="1" x14ac:dyDescent="0.25">
      <c r="A118" s="1703"/>
      <c r="B118" s="1670"/>
      <c r="C118" s="241" t="str">
        <f>F!C223</f>
        <v>Bumps into tree trunks and/or shrub stems and follows a fairly indirect path from entrance to exit (meandering, multi-branched, or braided).</v>
      </c>
      <c r="D118" s="128">
        <f>F!D223</f>
        <v>0</v>
      </c>
      <c r="E118" s="190">
        <v>2</v>
      </c>
      <c r="F118" s="190">
        <f>D118*E118</f>
        <v>0</v>
      </c>
      <c r="G118" s="391"/>
      <c r="H118" s="1696"/>
      <c r="I118" s="1671"/>
    </row>
    <row r="119" spans="1:9" ht="30" customHeight="1" thickBot="1" x14ac:dyDescent="0.25">
      <c r="A119" s="1721" t="str">
        <f>F!A228</f>
        <v>F48</v>
      </c>
      <c r="B119" s="1669" t="str">
        <f>F!B228</f>
        <v>TDS and/or Conductivity</v>
      </c>
      <c r="C119" s="36" t="str">
        <f>F!C228</f>
        <v>The TDS (total dissolved solids) or conductivity off the AA's surface water is: (select the first true row with information):</v>
      </c>
      <c r="D119" s="752"/>
      <c r="E119" s="191"/>
      <c r="F119" s="191"/>
      <c r="G119" s="400">
        <f>IF((D123=1),"",IF((D122=1),0,IF((D120&gt;2000),0, IF((D121&gt;4000),0, IF((D120&gt;300),1,IF((D121&gt;600),1, 0.5))))))</f>
        <v>0</v>
      </c>
      <c r="H119" s="1669" t="s">
        <v>2592</v>
      </c>
      <c r="I119" s="1669" t="s">
        <v>1574</v>
      </c>
    </row>
    <row r="120" spans="1:9" ht="15" customHeight="1" thickBot="1" x14ac:dyDescent="0.25">
      <c r="A120" s="1703"/>
      <c r="B120" s="1670"/>
      <c r="C120" s="1423" t="str">
        <f>F!C229</f>
        <v>TDS is: [Enter the reading in ppm or mg/L in the column to the right, if measured, or answer next row.]</v>
      </c>
      <c r="D120" s="1434" t="str">
        <f>IF((F!D229=""),"",F!D229)</f>
        <v/>
      </c>
      <c r="E120" s="203"/>
      <c r="F120" s="187"/>
      <c r="G120" s="462"/>
      <c r="H120" s="1670"/>
      <c r="I120" s="1670"/>
    </row>
    <row r="121" spans="1:9" ht="18.600000000000001" customHeight="1" thickBot="1" x14ac:dyDescent="0.25">
      <c r="A121" s="1703"/>
      <c r="B121" s="1670"/>
      <c r="C121" s="413" t="str">
        <f>F!C230</f>
        <v>Conductivity is  [Enter the reading in µS/cm in the column to the right.]</v>
      </c>
      <c r="D121" s="1434" t="str">
        <f>IF((F!D230=""),"",F!D230)</f>
        <v/>
      </c>
      <c r="E121" s="203"/>
      <c r="F121" s="187"/>
      <c r="G121" s="462"/>
      <c r="H121" s="1670"/>
      <c r="I121" s="1670"/>
    </row>
    <row r="122" spans="1:9" ht="15" customHeight="1" x14ac:dyDescent="0.2">
      <c r="A122" s="1703"/>
      <c r="B122" s="1670"/>
      <c r="C122" s="244" t="str">
        <f>F!C231</f>
        <v>Was not measured, but plants that indicate saline conditions cover much of the vegetated AA. Enter "1".</v>
      </c>
      <c r="D122" s="129">
        <f>F!D231</f>
        <v>0</v>
      </c>
      <c r="E122" s="187"/>
      <c r="F122" s="187"/>
      <c r="G122" s="462"/>
      <c r="H122" s="1670"/>
      <c r="I122" s="1670"/>
    </row>
    <row r="123" spans="1:9" ht="15" customHeight="1" thickBot="1" x14ac:dyDescent="0.25">
      <c r="A123" s="1722"/>
      <c r="B123" s="1671"/>
      <c r="C123" s="242" t="str">
        <f>F!C232</f>
        <v>Neither of above</v>
      </c>
      <c r="D123" s="84">
        <f>F!D232</f>
        <v>0</v>
      </c>
      <c r="E123" s="188"/>
      <c r="F123" s="188"/>
      <c r="G123" s="463" t="s">
        <v>912</v>
      </c>
      <c r="H123" s="1671"/>
      <c r="I123" s="1671"/>
    </row>
    <row r="124" spans="1:9" ht="21" customHeight="1" thickBot="1" x14ac:dyDescent="0.25">
      <c r="A124" s="1721" t="str">
        <f>F!A237</f>
        <v>F50</v>
      </c>
      <c r="B124" s="1669" t="str">
        <f>F!B237</f>
        <v>Groundwater Strength of Evidence</v>
      </c>
      <c r="C124" s="1354" t="str">
        <f>F!C237</f>
        <v>Select first applicable choice:</v>
      </c>
      <c r="D124" s="946"/>
      <c r="E124" s="191"/>
      <c r="F124" s="192"/>
      <c r="G124" s="400">
        <f>IF((D127=1),"",MAX(F125:F127)/MAX(E125:E127))</f>
        <v>0</v>
      </c>
      <c r="H124" s="1670" t="s">
        <v>1861</v>
      </c>
      <c r="I124" s="1669" t="s">
        <v>122</v>
      </c>
    </row>
    <row r="125" spans="1:9" ht="42" customHeight="1" thickBot="1" x14ac:dyDescent="0.25">
      <c r="A125" s="1703"/>
      <c r="B125" s="1670"/>
      <c r="C125" s="1354"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125" s="1154">
        <f>F!D238</f>
        <v>0</v>
      </c>
      <c r="E125" s="187">
        <v>3</v>
      </c>
      <c r="F125" s="214">
        <f>D125*E125</f>
        <v>0</v>
      </c>
      <c r="G125" s="461"/>
      <c r="H125" s="1670"/>
      <c r="I125" s="1670"/>
    </row>
    <row r="126" spans="1:9" ht="27" customHeight="1" thickBot="1" x14ac:dyDescent="0.25">
      <c r="A126" s="1703"/>
      <c r="B126" s="1670"/>
      <c r="C126" s="1354" t="str">
        <f>F!C239</f>
        <v>Most of the AA has a slope of &gt;5%, or is very close to the base of a natural slope longer than 100 and much steeper than the slope of the AA,  AND the pH of surface water, if known, is &gt;5.5.</v>
      </c>
      <c r="D126" s="1154">
        <f>F!D239</f>
        <v>0</v>
      </c>
      <c r="E126" s="187">
        <v>2</v>
      </c>
      <c r="F126" s="214">
        <f>D126*E126</f>
        <v>0</v>
      </c>
      <c r="G126" s="462"/>
      <c r="H126" s="1670"/>
      <c r="I126" s="1670"/>
    </row>
    <row r="127" spans="1:9" ht="27" customHeight="1" thickBot="1" x14ac:dyDescent="0.25">
      <c r="A127" s="1722"/>
      <c r="B127" s="1671"/>
      <c r="C127" s="1355" t="str">
        <f>F!C240</f>
        <v>Neither of above is true, although some groundwater may discharge to or flow through the AA. Or groundwater influx is unknown.</v>
      </c>
      <c r="D127" s="114">
        <f>F!D240</f>
        <v>0</v>
      </c>
      <c r="E127" s="188">
        <v>0</v>
      </c>
      <c r="F127" s="216">
        <f>D127*E127</f>
        <v>0</v>
      </c>
      <c r="G127" s="463"/>
      <c r="H127" s="1670"/>
      <c r="I127" s="1671"/>
    </row>
    <row r="128" spans="1:9" ht="93" customHeight="1" thickBot="1" x14ac:dyDescent="0.25">
      <c r="A128" s="1670" t="str">
        <f>F!A247</f>
        <v>F52</v>
      </c>
      <c r="B128" s="1670" t="str">
        <f>F!B247</f>
        <v>Vegetated Buffer as % of Perimeter</v>
      </c>
      <c r="C128" s="245" t="str">
        <f>F!C247</f>
        <v>Within a zone extending 30 m laterally from the AA's edge with upland and/or other wetlands, the percentage that contains perennial vegetation cover (except lawns, row crops, heavily grazed land, conifer plantations) is:</v>
      </c>
      <c r="D128" s="1153"/>
      <c r="E128" s="186"/>
      <c r="F128" s="189"/>
      <c r="G128" s="297">
        <f>MAX(F129:F133)/MAX(E129:E133)</f>
        <v>0</v>
      </c>
      <c r="H128" s="1693" t="s">
        <v>1461</v>
      </c>
      <c r="I128" s="1669" t="s">
        <v>115</v>
      </c>
    </row>
    <row r="129" spans="1:9" ht="45" customHeight="1" x14ac:dyDescent="0.2">
      <c r="A129" s="1670"/>
      <c r="B129" s="1670"/>
      <c r="C129" s="901" t="str">
        <f>F!C248</f>
        <v>&lt;5%.</v>
      </c>
      <c r="D129" s="900">
        <f>F!D248</f>
        <v>0</v>
      </c>
      <c r="E129" s="203">
        <v>0</v>
      </c>
      <c r="F129" s="187">
        <f t="shared" ref="F129:F136" si="3">D129*E129</f>
        <v>0</v>
      </c>
      <c r="G129" s="383"/>
      <c r="H129" s="1696"/>
      <c r="I129" s="1670"/>
    </row>
    <row r="130" spans="1:9" ht="45" customHeight="1" x14ac:dyDescent="0.2">
      <c r="A130" s="1670"/>
      <c r="B130" s="1670"/>
      <c r="C130" s="811" t="str">
        <f>F!C249</f>
        <v>5 to 30%.</v>
      </c>
      <c r="D130" s="33">
        <f>F!D249</f>
        <v>0</v>
      </c>
      <c r="E130" s="203">
        <v>2</v>
      </c>
      <c r="F130" s="187">
        <f t="shared" si="3"/>
        <v>0</v>
      </c>
      <c r="G130" s="384"/>
      <c r="H130" s="1696"/>
      <c r="I130" s="1670"/>
    </row>
    <row r="131" spans="1:9" ht="45" customHeight="1" x14ac:dyDescent="0.2">
      <c r="A131" s="1670"/>
      <c r="B131" s="1670"/>
      <c r="C131" s="628" t="str">
        <f>F!C250</f>
        <v>30 to 60%.</v>
      </c>
      <c r="D131" s="33">
        <f>F!D250</f>
        <v>0</v>
      </c>
      <c r="E131" s="203">
        <v>3</v>
      </c>
      <c r="F131" s="187">
        <f t="shared" si="3"/>
        <v>0</v>
      </c>
      <c r="G131" s="384"/>
      <c r="H131" s="1696"/>
      <c r="I131" s="1670"/>
    </row>
    <row r="132" spans="1:9" ht="51" customHeight="1" x14ac:dyDescent="0.2">
      <c r="A132" s="1670"/>
      <c r="B132" s="1670"/>
      <c r="C132" s="812" t="str">
        <f>F!C251</f>
        <v>60 to 90%.</v>
      </c>
      <c r="D132" s="129">
        <f>F!D251</f>
        <v>0</v>
      </c>
      <c r="E132" s="203">
        <v>4</v>
      </c>
      <c r="F132" s="187">
        <f t="shared" si="3"/>
        <v>0</v>
      </c>
      <c r="G132" s="384"/>
      <c r="H132" s="1696"/>
      <c r="I132" s="1670"/>
    </row>
    <row r="133" spans="1:9" ht="55.5" customHeight="1" thickBot="1" x14ac:dyDescent="0.25">
      <c r="A133" s="1671"/>
      <c r="B133" s="1671"/>
      <c r="C133" s="677" t="str">
        <f>F!C252</f>
        <v>&gt;90%, or all the area within 30 m of the AA edge is other wetlands. SKIP to F55.</v>
      </c>
      <c r="D133" s="151">
        <f>F!D252</f>
        <v>0</v>
      </c>
      <c r="E133" s="204">
        <v>6</v>
      </c>
      <c r="F133" s="188">
        <f t="shared" si="3"/>
        <v>0</v>
      </c>
      <c r="G133" s="385"/>
      <c r="H133" s="1712"/>
      <c r="I133" s="1671"/>
    </row>
    <row r="134" spans="1:9" ht="36" customHeight="1" thickBot="1" x14ac:dyDescent="0.25">
      <c r="A134" s="1669" t="str">
        <f>F!A253</f>
        <v>F53</v>
      </c>
      <c r="B134" s="1669" t="str">
        <f>F!B253</f>
        <v>Type of Cover in Buffer</v>
      </c>
      <c r="C134" s="240" t="str">
        <f>F!C253</f>
        <v>Within 30 m upslope of where the wetland transitions to upland, the upland land cover that is NOT perennial vegetation is mostly (mark ONE):</v>
      </c>
      <c r="D134" s="947"/>
      <c r="E134" s="191"/>
      <c r="F134" s="192"/>
      <c r="G134" s="327">
        <f>IF((BuffAllNat=1),"",MAX(F135:F136)/MAX(E135:E136))</f>
        <v>0</v>
      </c>
      <c r="H134" s="1971" t="s">
        <v>2222</v>
      </c>
      <c r="I134" s="1669" t="s">
        <v>116</v>
      </c>
    </row>
    <row r="135" spans="1:9" ht="21" customHeight="1" x14ac:dyDescent="0.2">
      <c r="A135" s="1670"/>
      <c r="B135" s="1670"/>
      <c r="C135" s="813" t="str">
        <f>F!C254</f>
        <v>Impervious surface, e.g., paved road, parking lot, building, exposed rock.</v>
      </c>
      <c r="D135" s="13">
        <f>F!D254</f>
        <v>0</v>
      </c>
      <c r="E135" s="187">
        <v>0</v>
      </c>
      <c r="F135" s="187">
        <f t="shared" si="3"/>
        <v>0</v>
      </c>
      <c r="G135" s="383"/>
      <c r="H135" s="1938"/>
      <c r="I135" s="1670"/>
    </row>
    <row r="136" spans="1:9" ht="33" customHeight="1" thickBot="1" x14ac:dyDescent="0.25">
      <c r="A136" s="1671"/>
      <c r="B136" s="1671"/>
      <c r="C136" s="948" t="str">
        <f>F!C255</f>
        <v>Bare or nearly bare pervious surface or managed vegetation, e.g., lawn, row crops, unpaved road, dike, landslide.</v>
      </c>
      <c r="D136" s="153">
        <f>F!D255</f>
        <v>0</v>
      </c>
      <c r="E136" s="188">
        <v>1</v>
      </c>
      <c r="F136" s="188">
        <f t="shared" si="3"/>
        <v>0</v>
      </c>
      <c r="G136" s="385"/>
      <c r="H136" s="1972"/>
      <c r="I136" s="1671"/>
    </row>
    <row r="137" spans="1:9" ht="72" customHeight="1" thickBot="1" x14ac:dyDescent="0.25">
      <c r="A137" s="283" t="str">
        <f>S!A3</f>
        <v>S1</v>
      </c>
      <c r="B137" s="36" t="str">
        <f>S!B3</f>
        <v>Aberrant Timing of Water Inputs</v>
      </c>
      <c r="C137" s="438" t="str">
        <f>S!E24</f>
        <v>Stressor subscore=</v>
      </c>
      <c r="D137" s="614">
        <f>S!F24</f>
        <v>0</v>
      </c>
      <c r="E137" s="407"/>
      <c r="F137" s="115"/>
      <c r="G137" s="327">
        <f>IF((Inflows=1),"", IF((AllSat1=1),"", 1-D137))</f>
        <v>1</v>
      </c>
      <c r="H137" s="3" t="s">
        <v>1740</v>
      </c>
      <c r="I137" s="3" t="s">
        <v>1669</v>
      </c>
    </row>
    <row r="138" spans="1:9" ht="84" customHeight="1" thickBot="1" x14ac:dyDescent="0.25">
      <c r="A138" s="283" t="str">
        <f>S!A51</f>
        <v>S4</v>
      </c>
      <c r="B138" s="36" t="str">
        <f>S!B51</f>
        <v>Excessive Sediment Loading from Contributing Area</v>
      </c>
      <c r="C138" s="89" t="str">
        <f>S!E68</f>
        <v>Stressor subscore=</v>
      </c>
      <c r="D138" s="614">
        <f>S!F68</f>
        <v>0</v>
      </c>
      <c r="E138" s="407"/>
      <c r="F138" s="115"/>
      <c r="G138" s="400">
        <f>1-D138</f>
        <v>1</v>
      </c>
      <c r="H138" s="68" t="s">
        <v>1518</v>
      </c>
      <c r="I138" s="3" t="s">
        <v>1670</v>
      </c>
    </row>
    <row r="139" spans="1:9" ht="45" customHeight="1" thickBot="1" x14ac:dyDescent="0.25">
      <c r="A139" s="623" t="str">
        <f>S!A69</f>
        <v>S5</v>
      </c>
      <c r="B139" s="624" t="str">
        <f>S!B69</f>
        <v>Soil or Sediment Alteration Within the Assessment Area</v>
      </c>
      <c r="C139" s="626" t="str">
        <f>S!E86</f>
        <v>Stressor subscore=</v>
      </c>
      <c r="D139" s="615">
        <f>S!F86</f>
        <v>0</v>
      </c>
      <c r="E139" s="625"/>
      <c r="F139" s="453"/>
      <c r="G139" s="328">
        <f>1-D139</f>
        <v>1</v>
      </c>
      <c r="H139" s="3" t="s">
        <v>72</v>
      </c>
      <c r="I139" s="3" t="s">
        <v>1671</v>
      </c>
    </row>
    <row r="140" spans="1:9" s="56" customFormat="1" ht="36" customHeight="1" thickBot="1" x14ac:dyDescent="0.25">
      <c r="A140" s="849" t="s">
        <v>88</v>
      </c>
      <c r="B140" s="850" t="s">
        <v>2437</v>
      </c>
      <c r="C140" s="852" t="s">
        <v>1164</v>
      </c>
      <c r="D140" s="851" t="s">
        <v>45</v>
      </c>
      <c r="E140" s="944" t="s">
        <v>1188</v>
      </c>
      <c r="F140" s="928" t="s">
        <v>1189</v>
      </c>
      <c r="G140" s="945" t="s">
        <v>2558</v>
      </c>
      <c r="H140" s="850" t="s">
        <v>1117</v>
      </c>
      <c r="I140" s="850" t="s">
        <v>2427</v>
      </c>
    </row>
    <row r="141" spans="1:9" ht="30" customHeight="1" thickBot="1" x14ac:dyDescent="0.25">
      <c r="A141" s="1987"/>
      <c r="B141" s="443" t="str">
        <f>FA!C151</f>
        <v>Function Score for Anadromous Fish Habitat</v>
      </c>
      <c r="C141" s="439"/>
      <c r="D141" s="65"/>
      <c r="E141" s="76"/>
      <c r="F141" s="67"/>
      <c r="G141" s="451">
        <f>FA!G151/10</f>
        <v>0</v>
      </c>
      <c r="H141" s="1696" t="s">
        <v>1349</v>
      </c>
      <c r="I141" s="2003"/>
    </row>
    <row r="142" spans="1:9" ht="30" customHeight="1" thickBot="1" x14ac:dyDescent="0.25">
      <c r="A142" s="1921"/>
      <c r="B142" s="444" t="str">
        <f>FR!C134</f>
        <v>Function Score for Resident Fish Habitat</v>
      </c>
      <c r="C142" s="440"/>
      <c r="D142" s="66"/>
      <c r="E142" s="77"/>
      <c r="F142" s="64"/>
      <c r="G142" s="452">
        <f>FR!G134/10</f>
        <v>0</v>
      </c>
      <c r="H142" s="1696"/>
      <c r="I142" s="1985"/>
    </row>
    <row r="143" spans="1:9" ht="30" customHeight="1" thickBot="1" x14ac:dyDescent="0.25">
      <c r="A143" s="1921"/>
      <c r="B143" s="444" t="str">
        <f>AM!C211</f>
        <v>Function Score for Amphibian Habitat</v>
      </c>
      <c r="C143" s="440"/>
      <c r="D143" s="66"/>
      <c r="E143" s="77"/>
      <c r="F143" s="64"/>
      <c r="G143" s="452">
        <f>AM!G211/10</f>
        <v>1.5873015873015872E-2</v>
      </c>
      <c r="H143" s="1696"/>
      <c r="I143" s="1985"/>
    </row>
    <row r="144" spans="1:9" ht="30" customHeight="1" thickBot="1" x14ac:dyDescent="0.25">
      <c r="A144" s="1921"/>
      <c r="B144" s="444" t="str">
        <f>WBF!C171</f>
        <v>Function Score for Feeding Waterbird Habitat</v>
      </c>
      <c r="C144" s="440"/>
      <c r="D144" s="66"/>
      <c r="E144" s="77"/>
      <c r="F144" s="64"/>
      <c r="G144" s="452">
        <f>WBF!G171/10</f>
        <v>5.5555555555555546E-2</v>
      </c>
      <c r="H144" s="1696"/>
      <c r="I144" s="1985"/>
    </row>
    <row r="145" spans="1:9" ht="30" customHeight="1" thickBot="1" x14ac:dyDescent="0.25">
      <c r="A145" s="1921"/>
      <c r="B145" s="444" t="str">
        <f>WBN!C197</f>
        <v>Function Score for Nesting Waterbird Habitat</v>
      </c>
      <c r="C145" s="441"/>
      <c r="D145" s="64"/>
      <c r="E145" s="64"/>
      <c r="F145" s="77"/>
      <c r="G145" s="452">
        <f>IFERROR((WBN!G197/10),"")</f>
        <v>2.222222222222222E-2</v>
      </c>
      <c r="H145" s="1696"/>
      <c r="I145" s="1985"/>
    </row>
    <row r="146" spans="1:9" ht="45" customHeight="1" thickBot="1" x14ac:dyDescent="0.25">
      <c r="A146" s="1922"/>
      <c r="B146" s="445" t="str">
        <f>SBM!C186</f>
        <v>Function Score for Songbird, Raptor, &amp; Mammal Habitat</v>
      </c>
      <c r="C146" s="442"/>
      <c r="D146" s="79"/>
      <c r="E146" s="79"/>
      <c r="F146" s="78"/>
      <c r="G146" s="452">
        <f>SBM!G186/10</f>
        <v>0</v>
      </c>
      <c r="H146" s="1712"/>
      <c r="I146" s="1986"/>
    </row>
    <row r="147" spans="1:9" ht="21" customHeight="1" thickBot="1" x14ac:dyDescent="0.25">
      <c r="A147" s="1859"/>
      <c r="B147" s="1859"/>
      <c r="C147" s="1859"/>
      <c r="D147" s="1859"/>
      <c r="E147" s="1859"/>
      <c r="F147" s="1859"/>
      <c r="G147" s="1859"/>
      <c r="H147" s="1859"/>
    </row>
    <row r="148" spans="1:9" ht="24" customHeight="1" x14ac:dyDescent="0.2">
      <c r="A148" s="1841"/>
      <c r="B148" s="1841"/>
      <c r="C148" s="1841"/>
      <c r="D148" s="1998" t="s">
        <v>121</v>
      </c>
      <c r="E148" s="1999"/>
      <c r="F148" s="1999"/>
      <c r="G148" s="280">
        <f>AVERAGE(ABpct8,(AVERAGE(AqCov8,DepthDiv8, Gcover8,Girreg8,WoodDown8, HerbDiv8, WoodHerbMix8)))</f>
        <v>0</v>
      </c>
      <c r="H148" s="1029" t="s">
        <v>2066</v>
      </c>
      <c r="I148" s="1030" t="s">
        <v>2137</v>
      </c>
    </row>
    <row r="149" spans="1:9" ht="21" customHeight="1" x14ac:dyDescent="0.2">
      <c r="A149" s="1841"/>
      <c r="B149" s="1841"/>
      <c r="C149" s="1841"/>
      <c r="D149" s="1988" t="s">
        <v>119</v>
      </c>
      <c r="E149" s="1989"/>
      <c r="F149" s="1989"/>
      <c r="G149" s="281">
        <f>AVERAGE(PermWpct8,SatPct8,SeasPct8,Fluctu8,Groundw8)</f>
        <v>0</v>
      </c>
      <c r="H149" s="1016" t="s">
        <v>1155</v>
      </c>
      <c r="I149" s="1031" t="s">
        <v>2138</v>
      </c>
    </row>
    <row r="150" spans="1:9" ht="21" customHeight="1" x14ac:dyDescent="0.2">
      <c r="A150" s="1841"/>
      <c r="B150" s="1841"/>
      <c r="C150" s="1841"/>
      <c r="D150" s="1988" t="s">
        <v>120</v>
      </c>
      <c r="E150" s="1989"/>
      <c r="F150" s="1989"/>
      <c r="G150" s="281">
        <f>IF((AllSat1&gt;0),"", IF((NoPonded=1),"", AVERAGE(Interspers8,ThruFlo8,IsoWet8)))</f>
        <v>0</v>
      </c>
      <c r="H150" s="1016" t="s">
        <v>2067</v>
      </c>
      <c r="I150" s="1031" t="s">
        <v>2139</v>
      </c>
    </row>
    <row r="151" spans="1:9" ht="30" customHeight="1" x14ac:dyDescent="0.2">
      <c r="A151" s="1841"/>
      <c r="B151" s="1841"/>
      <c r="C151" s="1841"/>
      <c r="D151" s="1915" t="s">
        <v>149</v>
      </c>
      <c r="E151" s="1916"/>
      <c r="F151" s="1916"/>
      <c r="G151" s="281">
        <f>AVERAGE(Wettype8,AVERAGE(Depth8,warmth8,DecidTree8,Nfixers8,WoodDown8, Conduc8,TidalProx8,karst8))</f>
        <v>0</v>
      </c>
      <c r="H151" s="1016" t="s">
        <v>2578</v>
      </c>
      <c r="I151" s="1031" t="s">
        <v>2140</v>
      </c>
    </row>
    <row r="152" spans="1:9" ht="21" customHeight="1" x14ac:dyDescent="0.2">
      <c r="A152" s="1841"/>
      <c r="B152" s="1841"/>
      <c r="C152" s="1841"/>
      <c r="D152" s="1988" t="s">
        <v>118</v>
      </c>
      <c r="E152" s="1989"/>
      <c r="F152" s="1989"/>
      <c r="G152" s="281">
        <f>AVERAGE(ImpervCA,NatVegPctCU8,CUbuffLUtype8,Subtypes8)</f>
        <v>0</v>
      </c>
      <c r="H152" s="1016" t="s">
        <v>2068</v>
      </c>
      <c r="I152" s="1031" t="s">
        <v>2141</v>
      </c>
    </row>
    <row r="153" spans="1:9" ht="21" customHeight="1" thickBot="1" x14ac:dyDescent="0.25">
      <c r="A153" s="1841"/>
      <c r="B153" s="1841"/>
      <c r="C153" s="1841"/>
      <c r="D153" s="1990" t="s">
        <v>451</v>
      </c>
      <c r="E153" s="1991"/>
      <c r="F153" s="1991"/>
      <c r="G153" s="1041">
        <f>AVERAGE(SedCA8a,SoilDisturb8a,AltTime8a)</f>
        <v>1</v>
      </c>
      <c r="H153" s="1032" t="s">
        <v>2330</v>
      </c>
      <c r="I153" s="1033" t="s">
        <v>2142</v>
      </c>
    </row>
    <row r="154" spans="1:9" ht="21" customHeight="1" thickBot="1" x14ac:dyDescent="0.25">
      <c r="A154" s="1841"/>
      <c r="B154" s="1841"/>
      <c r="C154" s="1841"/>
      <c r="D154" s="1965"/>
      <c r="E154" s="1965"/>
      <c r="F154" s="1965"/>
      <c r="G154" s="1965"/>
      <c r="H154" s="1841"/>
    </row>
    <row r="155" spans="1:9" ht="30" customHeight="1" thickBot="1" x14ac:dyDescent="0.25">
      <c r="A155" s="1841"/>
      <c r="B155" s="1871"/>
      <c r="C155" s="1838" t="s">
        <v>11</v>
      </c>
      <c r="D155" s="1839"/>
      <c r="E155" s="1840"/>
      <c r="F155" s="859" t="s">
        <v>52</v>
      </c>
      <c r="G155" s="925">
        <f>10*AVERAGE(Structure8,Food8,AVERAGE(Hydropd8,Connec8,Stressors8,Lscape8))</f>
        <v>0.83333333333333326</v>
      </c>
      <c r="H155" s="1807" t="s">
        <v>2069</v>
      </c>
      <c r="I155" s="1808"/>
    </row>
    <row r="156" spans="1:9" ht="30" customHeight="1" thickBot="1" x14ac:dyDescent="0.25">
      <c r="A156" s="1841"/>
      <c r="B156" s="1871"/>
      <c r="C156" s="1838" t="s">
        <v>1913</v>
      </c>
      <c r="D156" s="1839"/>
      <c r="E156" s="1840"/>
      <c r="F156" s="1046" t="s">
        <v>2223</v>
      </c>
      <c r="G156" s="926">
        <f>10*(AVERAGE(AnadFish,ResFish,Amphib,WbirdF,WbirdNest,SongbMam))</f>
        <v>0.15608465608465608</v>
      </c>
      <c r="H156" s="1807" t="s">
        <v>2070</v>
      </c>
      <c r="I156" s="1808"/>
    </row>
    <row r="157" spans="1:9" ht="21" customHeight="1" thickBot="1" x14ac:dyDescent="0.25">
      <c r="A157" s="1841"/>
      <c r="B157" s="1841"/>
      <c r="C157" s="1841"/>
      <c r="D157" s="1841"/>
      <c r="E157" s="1841"/>
      <c r="F157" s="1841"/>
      <c r="G157" s="1841"/>
      <c r="H157" s="1841"/>
    </row>
    <row r="158" spans="1:9" ht="21" customHeight="1" thickBot="1" x14ac:dyDescent="0.25">
      <c r="A158" s="2"/>
      <c r="B158" s="2"/>
      <c r="D158" s="2"/>
      <c r="E158" s="2"/>
      <c r="F158" s="2"/>
      <c r="G158" s="645"/>
      <c r="H158" s="1913" t="s">
        <v>669</v>
      </c>
      <c r="I158" s="1914"/>
    </row>
    <row r="159" spans="1:9" ht="42" customHeight="1" x14ac:dyDescent="0.2">
      <c r="A159" s="2"/>
      <c r="B159" s="2"/>
      <c r="D159" s="2"/>
      <c r="E159" s="2"/>
      <c r="F159" s="2"/>
      <c r="G159" s="2"/>
      <c r="H159" s="1966" t="s">
        <v>792</v>
      </c>
      <c r="I159" s="1967"/>
    </row>
    <row r="160" spans="1:9" ht="27" customHeight="1" x14ac:dyDescent="0.2">
      <c r="A160" s="2"/>
      <c r="B160" s="2"/>
      <c r="D160" s="2"/>
      <c r="E160" s="2"/>
      <c r="F160" s="2"/>
      <c r="G160" s="2"/>
      <c r="H160" s="1792" t="s">
        <v>823</v>
      </c>
      <c r="I160" s="1793"/>
    </row>
    <row r="161" spans="1:9" ht="42" customHeight="1" x14ac:dyDescent="0.2">
      <c r="A161" s="2"/>
      <c r="B161" s="2"/>
      <c r="D161" s="2"/>
      <c r="E161" s="2"/>
      <c r="F161" s="2"/>
      <c r="G161" s="2"/>
      <c r="H161" s="1792" t="s">
        <v>1100</v>
      </c>
      <c r="I161" s="1793"/>
    </row>
    <row r="162" spans="1:9" ht="27" customHeight="1" x14ac:dyDescent="0.2">
      <c r="A162" s="2"/>
      <c r="B162" s="2"/>
      <c r="D162" s="2"/>
      <c r="E162" s="2"/>
      <c r="F162" s="2"/>
      <c r="G162" s="2"/>
      <c r="H162" s="1792" t="s">
        <v>1099</v>
      </c>
      <c r="I162" s="1793"/>
    </row>
    <row r="163" spans="1:9" ht="27" customHeight="1" x14ac:dyDescent="0.2">
      <c r="A163" s="2"/>
      <c r="B163" s="2"/>
      <c r="D163" s="2"/>
      <c r="E163" s="2"/>
      <c r="F163" s="2"/>
      <c r="G163" s="2"/>
      <c r="H163" s="1792" t="s">
        <v>824</v>
      </c>
      <c r="I163" s="1793"/>
    </row>
    <row r="164" spans="1:9" ht="27" customHeight="1" x14ac:dyDescent="0.2">
      <c r="A164" s="2"/>
      <c r="B164" s="2"/>
      <c r="D164" s="2"/>
      <c r="E164" s="2"/>
      <c r="F164" s="2"/>
      <c r="G164" s="2"/>
      <c r="H164" s="1792" t="s">
        <v>825</v>
      </c>
      <c r="I164" s="1793"/>
    </row>
    <row r="165" spans="1:9" ht="42" customHeight="1" x14ac:dyDescent="0.2">
      <c r="A165" s="2"/>
      <c r="B165" s="2"/>
      <c r="D165" s="2"/>
      <c r="E165" s="2"/>
      <c r="F165" s="2"/>
      <c r="G165" s="2"/>
      <c r="H165" s="1792" t="s">
        <v>826</v>
      </c>
      <c r="I165" s="1793"/>
    </row>
    <row r="166" spans="1:9" ht="27" customHeight="1" x14ac:dyDescent="0.2">
      <c r="A166" s="2"/>
      <c r="B166" s="2"/>
      <c r="D166" s="2"/>
      <c r="E166" s="2"/>
      <c r="F166" s="2"/>
      <c r="G166" s="2"/>
      <c r="H166" s="1792" t="s">
        <v>827</v>
      </c>
      <c r="I166" s="1793"/>
    </row>
    <row r="167" spans="1:9" ht="42" customHeight="1" x14ac:dyDescent="0.2">
      <c r="A167" s="2"/>
      <c r="B167" s="2"/>
      <c r="D167" s="2"/>
      <c r="E167" s="2"/>
      <c r="F167" s="2"/>
      <c r="G167" s="2"/>
      <c r="H167" s="1792" t="s">
        <v>828</v>
      </c>
      <c r="I167" s="1793"/>
    </row>
    <row r="168" spans="1:9" ht="57" customHeight="1" x14ac:dyDescent="0.2">
      <c r="A168" s="2"/>
      <c r="B168" s="2"/>
      <c r="D168" s="2"/>
      <c r="E168" s="2"/>
      <c r="F168" s="2"/>
      <c r="G168" s="2"/>
      <c r="H168" s="1792" t="s">
        <v>829</v>
      </c>
      <c r="I168" s="1793"/>
    </row>
    <row r="169" spans="1:9" ht="27" customHeight="1" x14ac:dyDescent="0.2">
      <c r="A169" s="2"/>
      <c r="B169" s="2"/>
      <c r="D169" s="2"/>
      <c r="E169" s="2"/>
      <c r="F169" s="2"/>
      <c r="G169" s="2"/>
      <c r="H169" s="1792" t="s">
        <v>830</v>
      </c>
      <c r="I169" s="1793"/>
    </row>
    <row r="170" spans="1:9" ht="27" customHeight="1" x14ac:dyDescent="0.2">
      <c r="A170" s="2"/>
      <c r="B170" s="2"/>
      <c r="D170" s="2"/>
      <c r="E170" s="2"/>
      <c r="F170" s="2"/>
      <c r="G170" s="2"/>
      <c r="H170" s="1792" t="s">
        <v>831</v>
      </c>
      <c r="I170" s="1793"/>
    </row>
    <row r="171" spans="1:9" ht="27" customHeight="1" x14ac:dyDescent="0.2">
      <c r="A171" s="2"/>
      <c r="B171" s="2"/>
      <c r="D171" s="2"/>
      <c r="E171" s="2"/>
      <c r="F171" s="2"/>
      <c r="G171" s="2"/>
      <c r="H171" s="1792" t="s">
        <v>806</v>
      </c>
      <c r="I171" s="1793"/>
    </row>
    <row r="172" spans="1:9" ht="42" customHeight="1" x14ac:dyDescent="0.2">
      <c r="A172" s="2"/>
      <c r="B172" s="2"/>
      <c r="D172" s="2"/>
      <c r="E172" s="2"/>
      <c r="F172" s="2"/>
      <c r="G172" s="2"/>
      <c r="H172" s="1792" t="s">
        <v>1877</v>
      </c>
      <c r="I172" s="1793"/>
    </row>
    <row r="173" spans="1:9" ht="27" customHeight="1" x14ac:dyDescent="0.2">
      <c r="A173" s="2"/>
      <c r="B173" s="2"/>
      <c r="D173" s="2"/>
      <c r="E173" s="2"/>
      <c r="F173" s="2"/>
      <c r="G173" s="2"/>
      <c r="H173" s="1792" t="s">
        <v>832</v>
      </c>
      <c r="I173" s="1793"/>
    </row>
    <row r="174" spans="1:9" ht="27" customHeight="1" x14ac:dyDescent="0.2">
      <c r="A174" s="2"/>
      <c r="B174" s="2"/>
      <c r="D174" s="2"/>
      <c r="E174" s="2"/>
      <c r="F174" s="2"/>
      <c r="G174" s="2"/>
      <c r="H174" s="1792" t="s">
        <v>1878</v>
      </c>
      <c r="I174" s="1793"/>
    </row>
    <row r="175" spans="1:9" ht="42" customHeight="1" x14ac:dyDescent="0.2">
      <c r="A175" s="2"/>
      <c r="B175" s="2"/>
      <c r="D175" s="2"/>
      <c r="E175" s="2"/>
      <c r="F175" s="2"/>
      <c r="G175" s="2"/>
      <c r="H175" s="1792" t="s">
        <v>1742</v>
      </c>
      <c r="I175" s="1793"/>
    </row>
    <row r="176" spans="1:9" ht="27" customHeight="1" x14ac:dyDescent="0.2">
      <c r="A176" s="2"/>
      <c r="B176" s="2"/>
      <c r="D176" s="2"/>
      <c r="E176" s="2"/>
      <c r="F176" s="2"/>
      <c r="G176" s="2"/>
      <c r="H176" s="1792" t="s">
        <v>833</v>
      </c>
      <c r="I176" s="1793"/>
    </row>
    <row r="177" spans="1:9" ht="27" customHeight="1" x14ac:dyDescent="0.2">
      <c r="A177" s="2"/>
      <c r="B177" s="2"/>
      <c r="D177" s="2"/>
      <c r="E177" s="2"/>
      <c r="F177" s="2"/>
      <c r="G177" s="2"/>
      <c r="H177" s="1792" t="s">
        <v>834</v>
      </c>
      <c r="I177" s="1793"/>
    </row>
    <row r="178" spans="1:9" ht="42" customHeight="1" x14ac:dyDescent="0.2">
      <c r="A178" s="2"/>
      <c r="B178" s="2"/>
      <c r="D178" s="2"/>
      <c r="E178" s="2"/>
      <c r="F178" s="2"/>
      <c r="G178" s="2"/>
      <c r="H178" s="1792" t="s">
        <v>835</v>
      </c>
      <c r="I178" s="1793"/>
    </row>
    <row r="179" spans="1:9" ht="42" customHeight="1" x14ac:dyDescent="0.2">
      <c r="A179" s="2"/>
      <c r="B179" s="2"/>
      <c r="D179" s="2"/>
      <c r="E179" s="2"/>
      <c r="F179" s="2"/>
      <c r="G179" s="2"/>
      <c r="H179" s="1792" t="s">
        <v>808</v>
      </c>
      <c r="I179" s="1793"/>
    </row>
    <row r="180" spans="1:9" ht="27" customHeight="1" x14ac:dyDescent="0.2">
      <c r="A180" s="2"/>
      <c r="B180" s="2"/>
      <c r="D180" s="2"/>
      <c r="E180" s="2"/>
      <c r="F180" s="2"/>
      <c r="G180" s="2"/>
      <c r="H180" s="1792" t="s">
        <v>1202</v>
      </c>
      <c r="I180" s="1793"/>
    </row>
    <row r="181" spans="1:9" ht="42" customHeight="1" x14ac:dyDescent="0.2">
      <c r="A181" s="2"/>
      <c r="B181" s="2"/>
      <c r="D181" s="2"/>
      <c r="E181" s="2"/>
      <c r="F181" s="2"/>
      <c r="G181" s="2"/>
      <c r="H181" s="1792" t="s">
        <v>836</v>
      </c>
      <c r="I181" s="1793"/>
    </row>
    <row r="182" spans="1:9" ht="27" customHeight="1" x14ac:dyDescent="0.2">
      <c r="A182" s="2"/>
      <c r="B182" s="2"/>
      <c r="D182" s="2"/>
      <c r="E182" s="2"/>
      <c r="F182" s="2"/>
      <c r="G182" s="2"/>
      <c r="H182" s="1792" t="s">
        <v>837</v>
      </c>
      <c r="I182" s="1793"/>
    </row>
    <row r="183" spans="1:9" ht="27" customHeight="1" x14ac:dyDescent="0.2">
      <c r="A183" s="2"/>
      <c r="B183" s="2"/>
      <c r="D183" s="2"/>
      <c r="E183" s="2"/>
      <c r="F183" s="2"/>
      <c r="G183" s="2"/>
      <c r="H183" s="1792" t="s">
        <v>838</v>
      </c>
      <c r="I183" s="1793"/>
    </row>
    <row r="184" spans="1:9" ht="27" customHeight="1" x14ac:dyDescent="0.2">
      <c r="A184" s="2"/>
      <c r="B184" s="2"/>
      <c r="D184" s="2"/>
      <c r="E184" s="2"/>
      <c r="F184" s="2"/>
      <c r="G184" s="2"/>
      <c r="H184" s="1792" t="s">
        <v>839</v>
      </c>
      <c r="I184" s="1793"/>
    </row>
    <row r="185" spans="1:9" ht="42" customHeight="1" x14ac:dyDescent="0.2">
      <c r="A185" s="2"/>
      <c r="B185" s="2"/>
      <c r="D185" s="2"/>
      <c r="E185" s="2"/>
      <c r="F185" s="2"/>
      <c r="G185" s="2"/>
      <c r="H185" s="1792" t="s">
        <v>1404</v>
      </c>
      <c r="I185" s="1793"/>
    </row>
    <row r="186" spans="1:9" ht="57" customHeight="1" x14ac:dyDescent="0.2">
      <c r="A186" s="2"/>
      <c r="B186" s="2"/>
      <c r="D186" s="2"/>
      <c r="E186" s="2"/>
      <c r="F186" s="2"/>
      <c r="G186" s="2"/>
      <c r="H186" s="1792" t="s">
        <v>840</v>
      </c>
      <c r="I186" s="1793"/>
    </row>
    <row r="187" spans="1:9" ht="27" customHeight="1" x14ac:dyDescent="0.2">
      <c r="A187" s="2"/>
      <c r="B187" s="2"/>
      <c r="D187" s="2"/>
      <c r="E187" s="2"/>
      <c r="F187" s="2"/>
      <c r="G187" s="2"/>
      <c r="H187" s="1792" t="s">
        <v>841</v>
      </c>
      <c r="I187" s="1793"/>
    </row>
    <row r="188" spans="1:9" ht="27" customHeight="1" x14ac:dyDescent="0.2">
      <c r="A188" s="2"/>
      <c r="B188" s="2"/>
      <c r="D188" s="2"/>
      <c r="E188" s="2"/>
      <c r="F188" s="2"/>
      <c r="G188" s="2"/>
      <c r="H188" s="1792" t="s">
        <v>842</v>
      </c>
      <c r="I188" s="1793"/>
    </row>
    <row r="189" spans="1:9" ht="27" customHeight="1" x14ac:dyDescent="0.2">
      <c r="A189" s="2"/>
      <c r="B189" s="2"/>
      <c r="D189" s="2"/>
      <c r="E189" s="2"/>
      <c r="F189" s="2"/>
      <c r="G189" s="2"/>
      <c r="H189" s="1792" t="s">
        <v>843</v>
      </c>
      <c r="I189" s="1793"/>
    </row>
    <row r="190" spans="1:9" ht="27" customHeight="1" x14ac:dyDescent="0.2">
      <c r="A190" s="2"/>
      <c r="B190" s="2"/>
      <c r="D190" s="2"/>
      <c r="E190" s="2"/>
      <c r="F190" s="2"/>
      <c r="G190" s="2"/>
      <c r="H190" s="1792" t="s">
        <v>844</v>
      </c>
      <c r="I190" s="1793"/>
    </row>
    <row r="191" spans="1:9" ht="27" customHeight="1" x14ac:dyDescent="0.2">
      <c r="A191" s="2"/>
      <c r="B191" s="2"/>
      <c r="D191" s="2"/>
      <c r="E191" s="2"/>
      <c r="F191" s="2"/>
      <c r="G191" s="2"/>
      <c r="H191" s="1792" t="s">
        <v>845</v>
      </c>
      <c r="I191" s="1793"/>
    </row>
    <row r="192" spans="1:9" ht="42" customHeight="1" x14ac:dyDescent="0.2">
      <c r="A192" s="2"/>
      <c r="B192" s="2"/>
      <c r="D192" s="2"/>
      <c r="E192" s="2"/>
      <c r="F192" s="2"/>
      <c r="G192" s="2"/>
      <c r="H192" s="1792" t="s">
        <v>846</v>
      </c>
      <c r="I192" s="1793"/>
    </row>
    <row r="193" spans="1:9" ht="27" customHeight="1" x14ac:dyDescent="0.2">
      <c r="A193" s="2"/>
      <c r="B193" s="2"/>
      <c r="D193" s="2"/>
      <c r="E193" s="2"/>
      <c r="F193" s="2"/>
      <c r="G193" s="2"/>
      <c r="H193" s="1792" t="s">
        <v>812</v>
      </c>
      <c r="I193" s="1793"/>
    </row>
    <row r="194" spans="1:9" ht="27" customHeight="1" x14ac:dyDescent="0.2">
      <c r="A194" s="2"/>
      <c r="B194" s="2"/>
      <c r="D194" s="2"/>
      <c r="E194" s="2"/>
      <c r="F194" s="2"/>
      <c r="G194" s="2"/>
      <c r="H194" s="1792" t="s">
        <v>847</v>
      </c>
      <c r="I194" s="1793"/>
    </row>
    <row r="195" spans="1:9" ht="27" customHeight="1" x14ac:dyDescent="0.2">
      <c r="A195" s="2"/>
      <c r="B195" s="2"/>
      <c r="D195" s="2"/>
      <c r="E195" s="2"/>
      <c r="F195" s="2"/>
      <c r="G195" s="2"/>
      <c r="H195" s="1792" t="s">
        <v>1741</v>
      </c>
      <c r="I195" s="1793"/>
    </row>
    <row r="196" spans="1:9" ht="57" customHeight="1" x14ac:dyDescent="0.2">
      <c r="A196" s="2"/>
      <c r="B196" s="2"/>
      <c r="D196" s="2"/>
      <c r="E196" s="2"/>
      <c r="F196" s="2"/>
      <c r="G196" s="2"/>
      <c r="H196" s="1792" t="s">
        <v>1462</v>
      </c>
      <c r="I196" s="1793"/>
    </row>
    <row r="197" spans="1:9" ht="27" customHeight="1" x14ac:dyDescent="0.2">
      <c r="A197" s="2"/>
      <c r="B197" s="2"/>
      <c r="D197" s="2"/>
      <c r="E197" s="2"/>
      <c r="F197" s="2"/>
      <c r="G197" s="2"/>
      <c r="H197" s="1792" t="s">
        <v>848</v>
      </c>
      <c r="I197" s="1793"/>
    </row>
    <row r="198" spans="1:9" ht="27" customHeight="1" x14ac:dyDescent="0.2">
      <c r="A198" s="2"/>
      <c r="B198" s="2"/>
      <c r="D198" s="2"/>
      <c r="E198" s="2"/>
      <c r="F198" s="2"/>
      <c r="G198" s="2"/>
      <c r="H198" s="1792" t="s">
        <v>1347</v>
      </c>
      <c r="I198" s="1793"/>
    </row>
    <row r="199" spans="1:9" ht="42" customHeight="1" thickBot="1" x14ac:dyDescent="0.25">
      <c r="A199" s="2"/>
      <c r="B199" s="2"/>
      <c r="D199" s="2"/>
      <c r="E199" s="2"/>
      <c r="F199" s="2"/>
      <c r="G199" s="2"/>
      <c r="H199" s="1794" t="s">
        <v>849</v>
      </c>
      <c r="I199" s="1795"/>
    </row>
    <row r="200" spans="1:9" x14ac:dyDescent="0.2">
      <c r="C200" s="6"/>
    </row>
    <row r="201" spans="1:9" x14ac:dyDescent="0.2">
      <c r="C201" s="6"/>
    </row>
    <row r="202" spans="1:9" x14ac:dyDescent="0.2">
      <c r="C202" s="6"/>
    </row>
    <row r="203" spans="1:9" x14ac:dyDescent="0.2">
      <c r="C203" s="6"/>
    </row>
    <row r="220" spans="8:8" ht="51" x14ac:dyDescent="0.2">
      <c r="H220" s="2" t="s">
        <v>1564</v>
      </c>
    </row>
  </sheetData>
  <sheetProtection algorithmName="SHA-512" hashValue="K4A/0bgp8LSTAeoxTGwx7x7iU8PEwmFZFe/TAnfOLozRbZH4XClBGTq/sCSsbtNtakeHSvDEdXFC2OHZC8EUiQ==" saltValue="OnNfQ+MZjy8kFW+B19R87g==" spinCount="100000" sheet="1" formatCells="0" formatColumns="0" formatRows="0"/>
  <customSheetViews>
    <customSheetView guid="{B8E02330-2419-4DE6-AD01-7ACC7A5D18DD}" scale="75" topLeftCell="A154">
      <selection activeCell="A2" sqref="A2:H175"/>
      <pageMargins left="0.75" right="0.75" top="1" bottom="1" header="0.5" footer="0.5"/>
      <pageSetup orientation="portrait" r:id="rId1"/>
      <headerFooter alignWithMargins="0"/>
    </customSheetView>
  </customSheetViews>
  <mergeCells count="162">
    <mergeCell ref="A98:A104"/>
    <mergeCell ref="B98:B104"/>
    <mergeCell ref="A88:A91"/>
    <mergeCell ref="B88:B91"/>
    <mergeCell ref="H128:H133"/>
    <mergeCell ref="B128:B133"/>
    <mergeCell ref="A134:A136"/>
    <mergeCell ref="H134:H136"/>
    <mergeCell ref="A92:A97"/>
    <mergeCell ref="B92:B97"/>
    <mergeCell ref="A1:B1"/>
    <mergeCell ref="B3:B9"/>
    <mergeCell ref="H10:H13"/>
    <mergeCell ref="A3:A9"/>
    <mergeCell ref="E1:I1"/>
    <mergeCell ref="I3:I9"/>
    <mergeCell ref="I10:I13"/>
    <mergeCell ref="H70:H75"/>
    <mergeCell ref="A57:A63"/>
    <mergeCell ref="B70:B75"/>
    <mergeCell ref="B16:B22"/>
    <mergeCell ref="A29:A35"/>
    <mergeCell ref="A36:A38"/>
    <mergeCell ref="B36:B38"/>
    <mergeCell ref="H3:H9"/>
    <mergeCell ref="B10:B13"/>
    <mergeCell ref="A10:A13"/>
    <mergeCell ref="H50:H53"/>
    <mergeCell ref="H23:H27"/>
    <mergeCell ref="B23:B27"/>
    <mergeCell ref="A23:A27"/>
    <mergeCell ref="A16:A22"/>
    <mergeCell ref="H16:H22"/>
    <mergeCell ref="B54:B56"/>
    <mergeCell ref="A50:A53"/>
    <mergeCell ref="A54:A56"/>
    <mergeCell ref="H54:H56"/>
    <mergeCell ref="B50:B53"/>
    <mergeCell ref="A82:A87"/>
    <mergeCell ref="A64:A69"/>
    <mergeCell ref="B82:B87"/>
    <mergeCell ref="H64:H69"/>
    <mergeCell ref="A155:B156"/>
    <mergeCell ref="H156:I156"/>
    <mergeCell ref="I134:I136"/>
    <mergeCell ref="I141:I146"/>
    <mergeCell ref="I119:I123"/>
    <mergeCell ref="I124:I127"/>
    <mergeCell ref="I128:I133"/>
    <mergeCell ref="H82:H87"/>
    <mergeCell ref="H76:H81"/>
    <mergeCell ref="B76:B81"/>
    <mergeCell ref="A76:A81"/>
    <mergeCell ref="A141:A146"/>
    <mergeCell ref="A128:A133"/>
    <mergeCell ref="H141:H146"/>
    <mergeCell ref="H98:H104"/>
    <mergeCell ref="H88:H91"/>
    <mergeCell ref="A157:H157"/>
    <mergeCell ref="D149:F149"/>
    <mergeCell ref="A39:A44"/>
    <mergeCell ref="C156:E156"/>
    <mergeCell ref="D151:F151"/>
    <mergeCell ref="D152:F152"/>
    <mergeCell ref="D153:F153"/>
    <mergeCell ref="D150:F150"/>
    <mergeCell ref="C155:E155"/>
    <mergeCell ref="D148:F148"/>
    <mergeCell ref="B134:B136"/>
    <mergeCell ref="H39:H44"/>
    <mergeCell ref="B45:B49"/>
    <mergeCell ref="B39:B44"/>
    <mergeCell ref="A45:A49"/>
    <mergeCell ref="H57:H63"/>
    <mergeCell ref="B57:B63"/>
    <mergeCell ref="H45:H49"/>
    <mergeCell ref="B64:B69"/>
    <mergeCell ref="A70:A75"/>
    <mergeCell ref="D147:H147"/>
    <mergeCell ref="D154:H154"/>
    <mergeCell ref="A147:C154"/>
    <mergeCell ref="H155:I155"/>
    <mergeCell ref="I16:I22"/>
    <mergeCell ref="I23:I27"/>
    <mergeCell ref="A113:A118"/>
    <mergeCell ref="H124:H127"/>
    <mergeCell ref="A105:A108"/>
    <mergeCell ref="B105:B108"/>
    <mergeCell ref="A124:A127"/>
    <mergeCell ref="H113:H118"/>
    <mergeCell ref="B113:B118"/>
    <mergeCell ref="B124:B127"/>
    <mergeCell ref="H105:H108"/>
    <mergeCell ref="B119:B123"/>
    <mergeCell ref="A119:A123"/>
    <mergeCell ref="H119:H123"/>
    <mergeCell ref="A109:A112"/>
    <mergeCell ref="B109:B112"/>
    <mergeCell ref="H109:H112"/>
    <mergeCell ref="H92:H97"/>
    <mergeCell ref="H36:H38"/>
    <mergeCell ref="H29:H35"/>
    <mergeCell ref="B29:B35"/>
    <mergeCell ref="I54:I56"/>
    <mergeCell ref="I57:I63"/>
    <mergeCell ref="I92:I97"/>
    <mergeCell ref="I64:I69"/>
    <mergeCell ref="I70:I75"/>
    <mergeCell ref="I29:I35"/>
    <mergeCell ref="I36:I38"/>
    <mergeCell ref="I39:I44"/>
    <mergeCell ref="I45:I49"/>
    <mergeCell ref="I50:I53"/>
    <mergeCell ref="I109:I112"/>
    <mergeCell ref="I113:I118"/>
    <mergeCell ref="I82:I87"/>
    <mergeCell ref="I88:I91"/>
    <mergeCell ref="I98:I104"/>
    <mergeCell ref="I105:I108"/>
    <mergeCell ref="I76:I81"/>
    <mergeCell ref="H163:I163"/>
    <mergeCell ref="H164:I164"/>
    <mergeCell ref="H165:I165"/>
    <mergeCell ref="H166:I166"/>
    <mergeCell ref="H167:I167"/>
    <mergeCell ref="H158:I158"/>
    <mergeCell ref="H159:I159"/>
    <mergeCell ref="H160:I160"/>
    <mergeCell ref="H161:I161"/>
    <mergeCell ref="H162:I162"/>
    <mergeCell ref="H173:I173"/>
    <mergeCell ref="H174:I174"/>
    <mergeCell ref="H175:I175"/>
    <mergeCell ref="H176:I176"/>
    <mergeCell ref="H177:I177"/>
    <mergeCell ref="H168:I168"/>
    <mergeCell ref="H169:I169"/>
    <mergeCell ref="H170:I170"/>
    <mergeCell ref="H171:I171"/>
    <mergeCell ref="H172:I172"/>
    <mergeCell ref="H183:I183"/>
    <mergeCell ref="H184:I184"/>
    <mergeCell ref="H185:I185"/>
    <mergeCell ref="H186:I186"/>
    <mergeCell ref="H187:I187"/>
    <mergeCell ref="H178:I178"/>
    <mergeCell ref="H179:I179"/>
    <mergeCell ref="H180:I180"/>
    <mergeCell ref="H181:I181"/>
    <mergeCell ref="H182:I182"/>
    <mergeCell ref="H198:I198"/>
    <mergeCell ref="H199:I199"/>
    <mergeCell ref="H193:I193"/>
    <mergeCell ref="H194:I194"/>
    <mergeCell ref="H195:I195"/>
    <mergeCell ref="H196:I196"/>
    <mergeCell ref="H197:I197"/>
    <mergeCell ref="H188:I188"/>
    <mergeCell ref="H189:I189"/>
    <mergeCell ref="H190:I190"/>
    <mergeCell ref="H191:I191"/>
    <mergeCell ref="H192:I192"/>
  </mergeCells>
  <phoneticPr fontId="3" type="noConversion"/>
  <pageMargins left="0.75" right="0.75" top="1" bottom="1" header="0.5" footer="0.5"/>
  <pageSetup orientation="portrait"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7"/>
  <dimension ref="A1:BP876"/>
  <sheetViews>
    <sheetView topLeftCell="A128" zoomScaleNormal="100" workbookViewId="0">
      <selection activeCell="G154" sqref="G154"/>
    </sheetView>
  </sheetViews>
  <sheetFormatPr defaultColWidth="9.33203125" defaultRowHeight="16.5" x14ac:dyDescent="0.2"/>
  <cols>
    <col min="1" max="1" width="5.83203125" style="2" customWidth="1"/>
    <col min="2" max="2" width="18.83203125" style="2" customWidth="1"/>
    <col min="3" max="3" width="75.83203125" style="2" customWidth="1"/>
    <col min="4" max="5" width="7.83203125" style="185" customWidth="1"/>
    <col min="6" max="6" width="7.83203125" style="458" customWidth="1"/>
    <col min="7" max="7" width="9.1640625" style="459" customWidth="1"/>
    <col min="8" max="8" width="64.83203125" style="2" customWidth="1"/>
    <col min="9" max="9" width="12.5" style="5" customWidth="1"/>
    <col min="10" max="10" width="9.33203125" style="5"/>
    <col min="11" max="11" width="9.33203125" style="58"/>
    <col min="12" max="16384" width="9.33203125" style="5"/>
  </cols>
  <sheetData>
    <row r="1" spans="1:11" s="1419" customFormat="1" ht="51" customHeight="1" thickBot="1" x14ac:dyDescent="0.25">
      <c r="A1" s="1927" t="s">
        <v>2217</v>
      </c>
      <c r="B1" s="1928"/>
      <c r="C1" s="1407" t="s">
        <v>1300</v>
      </c>
      <c r="D1" s="1437" t="s">
        <v>1071</v>
      </c>
      <c r="E1" s="1994"/>
      <c r="F1" s="1995"/>
      <c r="G1" s="1995"/>
      <c r="H1" s="1995"/>
      <c r="I1" s="1995"/>
      <c r="K1" s="246"/>
    </row>
    <row r="2" spans="1:11" s="56" customFormat="1" ht="36" customHeight="1" thickBot="1" x14ac:dyDescent="0.25">
      <c r="A2" s="833" t="s">
        <v>88</v>
      </c>
      <c r="B2" s="833" t="s">
        <v>1424</v>
      </c>
      <c r="C2" s="862" t="s">
        <v>1164</v>
      </c>
      <c r="D2" s="833" t="s">
        <v>45</v>
      </c>
      <c r="E2" s="904" t="s">
        <v>1188</v>
      </c>
      <c r="F2" s="905" t="s">
        <v>1189</v>
      </c>
      <c r="G2" s="906" t="s">
        <v>2558</v>
      </c>
      <c r="H2" s="833" t="s">
        <v>1117</v>
      </c>
      <c r="I2" s="895" t="s">
        <v>2427</v>
      </c>
    </row>
    <row r="3" spans="1:11" ht="30" customHeight="1" thickBot="1" x14ac:dyDescent="0.25">
      <c r="A3" s="1940" t="str">
        <f>OF!A23</f>
        <v>OF4</v>
      </c>
      <c r="B3" s="1696" t="str">
        <f>OF!B23</f>
        <v xml:space="preserve">Size of Largest Nearby Vegetated Tract or Corridor </v>
      </c>
      <c r="C3" s="245" t="str">
        <f>OF!C23</f>
        <v>The largest vegetated patch or corridor that includes the AA's vegetation plus all adjacent upland vegetation that is not lawn, row crops, heavily grazed lands, conifer plantation is:</v>
      </c>
      <c r="D3" s="957"/>
      <c r="E3" s="186"/>
      <c r="F3" s="208"/>
      <c r="G3" s="297">
        <f>MAX(F4:F10)/MAX(E4:E10)</f>
        <v>0</v>
      </c>
      <c r="H3" s="1696" t="s">
        <v>1751</v>
      </c>
      <c r="I3" s="1865" t="s">
        <v>185</v>
      </c>
    </row>
    <row r="4" spans="1:11" ht="15" customHeight="1" x14ac:dyDescent="0.2">
      <c r="A4" s="1940"/>
      <c r="B4" s="1696"/>
      <c r="C4" s="14" t="str">
        <f>OF!C24</f>
        <v>&lt;0.01 hectare (about 10 m x 10 m).</v>
      </c>
      <c r="D4" s="129">
        <f>OF!D24</f>
        <v>0</v>
      </c>
      <c r="E4" s="35">
        <v>0</v>
      </c>
      <c r="F4" s="187">
        <f t="shared" ref="F4:F10" si="0">D4*E4</f>
        <v>0</v>
      </c>
      <c r="G4" s="292"/>
      <c r="H4" s="1696"/>
      <c r="I4" s="1866"/>
    </row>
    <row r="5" spans="1:11" ht="15" customHeight="1" x14ac:dyDescent="0.2">
      <c r="A5" s="1940"/>
      <c r="B5" s="1696"/>
      <c r="C5" s="14" t="str">
        <f>OF!C25</f>
        <v>0.01 - 0.1 hectare.</v>
      </c>
      <c r="D5" s="129">
        <f>OF!D25</f>
        <v>0</v>
      </c>
      <c r="E5" s="35">
        <v>2</v>
      </c>
      <c r="F5" s="187">
        <f t="shared" si="0"/>
        <v>0</v>
      </c>
      <c r="G5" s="293"/>
      <c r="H5" s="1696"/>
      <c r="I5" s="1866"/>
    </row>
    <row r="6" spans="1:11" ht="15" customHeight="1" x14ac:dyDescent="0.2">
      <c r="A6" s="1940"/>
      <c r="B6" s="1696"/>
      <c r="C6" s="14" t="str">
        <f>OF!C26</f>
        <v>0.1 - 1 hectare.</v>
      </c>
      <c r="D6" s="129">
        <f>OF!D26</f>
        <v>0</v>
      </c>
      <c r="E6" s="35">
        <v>3</v>
      </c>
      <c r="F6" s="187">
        <f t="shared" si="0"/>
        <v>0</v>
      </c>
      <c r="G6" s="293"/>
      <c r="H6" s="1696"/>
      <c r="I6" s="1866"/>
    </row>
    <row r="7" spans="1:11" ht="15" customHeight="1" x14ac:dyDescent="0.2">
      <c r="A7" s="1940"/>
      <c r="B7" s="1696"/>
      <c r="C7" s="14" t="str">
        <f>OF!C27</f>
        <v>1 to 10 hectares.</v>
      </c>
      <c r="D7" s="129">
        <f>OF!D27</f>
        <v>0</v>
      </c>
      <c r="E7" s="35">
        <v>4</v>
      </c>
      <c r="F7" s="187">
        <f t="shared" si="0"/>
        <v>0</v>
      </c>
      <c r="G7" s="293"/>
      <c r="H7" s="1696"/>
      <c r="I7" s="1866"/>
    </row>
    <row r="8" spans="1:11" ht="15" customHeight="1" x14ac:dyDescent="0.2">
      <c r="A8" s="1940"/>
      <c r="B8" s="1696"/>
      <c r="C8" s="14" t="str">
        <f>OF!C28</f>
        <v>10 to 100 hectares.</v>
      </c>
      <c r="D8" s="129">
        <f>OF!D28</f>
        <v>0</v>
      </c>
      <c r="E8" s="35">
        <v>5</v>
      </c>
      <c r="F8" s="187">
        <f t="shared" si="0"/>
        <v>0</v>
      </c>
      <c r="G8" s="293"/>
      <c r="H8" s="1696"/>
      <c r="I8" s="1866"/>
    </row>
    <row r="9" spans="1:11" ht="15" customHeight="1" x14ac:dyDescent="0.2">
      <c r="A9" s="1940"/>
      <c r="B9" s="1696"/>
      <c r="C9" s="14" t="str">
        <f>OF!C29</f>
        <v>100 to 1000 hectares.</v>
      </c>
      <c r="D9" s="129">
        <f>OF!D29</f>
        <v>0</v>
      </c>
      <c r="E9" s="34">
        <v>6</v>
      </c>
      <c r="F9" s="187">
        <f t="shared" si="0"/>
        <v>0</v>
      </c>
      <c r="G9" s="293"/>
      <c r="H9" s="1696"/>
      <c r="I9" s="1866"/>
    </row>
    <row r="10" spans="1:11" ht="15" customHeight="1" thickBot="1" x14ac:dyDescent="0.25">
      <c r="A10" s="1940"/>
      <c r="B10" s="1696"/>
      <c r="C10" s="14" t="str">
        <f>OF!C30</f>
        <v>&gt;1000 hectares. [This is nearly always the answer in relatively undeveloped landscapes.]</v>
      </c>
      <c r="D10" s="129">
        <f>OF!D30</f>
        <v>0</v>
      </c>
      <c r="E10" s="34">
        <v>8</v>
      </c>
      <c r="F10" s="190">
        <f t="shared" si="0"/>
        <v>0</v>
      </c>
      <c r="G10" s="302"/>
      <c r="H10" s="1696"/>
      <c r="I10" s="1867"/>
    </row>
    <row r="11" spans="1:11" ht="51" customHeight="1" thickBot="1" x14ac:dyDescent="0.25">
      <c r="A11" s="1713" t="str">
        <f>OF!A31</f>
        <v>OF5</v>
      </c>
      <c r="B11" s="1693" t="str">
        <f>OF!B31</f>
        <v>Distance to Large Vegetated Tract</v>
      </c>
      <c r="C11" s="240" t="str">
        <f>OF!C31</f>
        <v>The minimum distance from the edge of the AA to the edge of the closest vegetated land (but excluding row crops, lawn, conifer plantation) larger than 375 hectares (about 2 km on a side), is:</v>
      </c>
      <c r="D11" s="957"/>
      <c r="E11" s="191"/>
      <c r="F11" s="209"/>
      <c r="G11" s="291">
        <f>MAX(F12:F18)/MAX(E12:E18)</f>
        <v>0</v>
      </c>
      <c r="H11" s="1693" t="s">
        <v>1607</v>
      </c>
      <c r="I11" s="1865" t="s">
        <v>182</v>
      </c>
    </row>
    <row r="12" spans="1:11" ht="48" customHeight="1" x14ac:dyDescent="0.2">
      <c r="A12" s="1714"/>
      <c r="B12" s="1696"/>
      <c r="C12" s="14" t="str">
        <f>OF!C32</f>
        <v>&lt;50 m, and not separated from the 375-ha vegetated area by any width of paved roads, stretches of open water, row crops, bare ground, lawn, or impervious surface. Or the AA itself contains &gt;375 ha of vegetation. [This is often the answer in relatively undeveloped landscapes.]</v>
      </c>
      <c r="D12" s="129">
        <f>OF!D32</f>
        <v>0</v>
      </c>
      <c r="E12" s="35">
        <v>7</v>
      </c>
      <c r="F12" s="187">
        <f t="shared" ref="F12:F18" si="1">D12*E12</f>
        <v>0</v>
      </c>
      <c r="G12" s="292"/>
      <c r="H12" s="1696"/>
      <c r="I12" s="1866"/>
    </row>
    <row r="13" spans="1:11" ht="33" customHeight="1" x14ac:dyDescent="0.2">
      <c r="A13" s="1714"/>
      <c r="B13" s="1696"/>
      <c r="C13" s="14" t="str">
        <f>OF!C33</f>
        <v>&lt;50 m, but completely separated from the 375-ha vegetated area by those features, and AA does not contain &gt;375 ha of vegetation.</v>
      </c>
      <c r="D13" s="129">
        <f>OF!D33</f>
        <v>0</v>
      </c>
      <c r="E13" s="187">
        <v>6</v>
      </c>
      <c r="F13" s="187">
        <f t="shared" si="1"/>
        <v>0</v>
      </c>
      <c r="G13" s="293"/>
      <c r="H13" s="1696"/>
      <c r="I13" s="1866"/>
    </row>
    <row r="14" spans="1:11" ht="21" customHeight="1" x14ac:dyDescent="0.2">
      <c r="A14" s="1714"/>
      <c r="B14" s="1696"/>
      <c r="C14" s="14" t="str">
        <f>OF!C34</f>
        <v>50-500 m, and not separated.</v>
      </c>
      <c r="D14" s="129">
        <f>OF!D34</f>
        <v>0</v>
      </c>
      <c r="E14" s="187">
        <v>5</v>
      </c>
      <c r="F14" s="187">
        <f t="shared" si="1"/>
        <v>0</v>
      </c>
      <c r="G14" s="293"/>
      <c r="H14" s="1696"/>
      <c r="I14" s="1866"/>
    </row>
    <row r="15" spans="1:11" ht="21" customHeight="1" x14ac:dyDescent="0.2">
      <c r="A15" s="1714"/>
      <c r="B15" s="1696"/>
      <c r="C15" s="14" t="str">
        <f>OF!C35</f>
        <v>50-500 m, but separated by those features.</v>
      </c>
      <c r="D15" s="129">
        <f>OF!D35</f>
        <v>0</v>
      </c>
      <c r="E15" s="187">
        <v>4</v>
      </c>
      <c r="F15" s="187">
        <f t="shared" si="1"/>
        <v>0</v>
      </c>
      <c r="G15" s="293"/>
      <c r="H15" s="1696"/>
      <c r="I15" s="1866"/>
    </row>
    <row r="16" spans="1:11" ht="21" customHeight="1" x14ac:dyDescent="0.2">
      <c r="A16" s="1714"/>
      <c r="B16" s="1696"/>
      <c r="C16" s="14" t="str">
        <f>OF!C36</f>
        <v>0.5 - 5 km, and not separated.</v>
      </c>
      <c r="D16" s="129">
        <f>OF!D36</f>
        <v>0</v>
      </c>
      <c r="E16" s="187">
        <v>3</v>
      </c>
      <c r="F16" s="187">
        <f t="shared" si="1"/>
        <v>0</v>
      </c>
      <c r="G16" s="293"/>
      <c r="H16" s="1696"/>
      <c r="I16" s="1866"/>
    </row>
    <row r="17" spans="1:9" ht="21" customHeight="1" x14ac:dyDescent="0.2">
      <c r="A17" s="1714"/>
      <c r="B17" s="1696"/>
      <c r="C17" s="14" t="str">
        <f>OF!C37</f>
        <v>0.5 - 5 km, but separated by those features.</v>
      </c>
      <c r="D17" s="129">
        <f>OF!D37</f>
        <v>0</v>
      </c>
      <c r="E17" s="187">
        <v>2</v>
      </c>
      <c r="F17" s="187">
        <f t="shared" si="1"/>
        <v>0</v>
      </c>
      <c r="G17" s="293"/>
      <c r="H17" s="1696"/>
      <c r="I17" s="1866"/>
    </row>
    <row r="18" spans="1:9" ht="21" customHeight="1" thickBot="1" x14ac:dyDescent="0.25">
      <c r="A18" s="1715"/>
      <c r="B18" s="1712"/>
      <c r="C18" s="14" t="str">
        <f>OF!C38</f>
        <v>None of the above (the closest patches or corridors which are that large are &gt;5 km away).</v>
      </c>
      <c r="D18" s="129">
        <f>OF!D38</f>
        <v>0</v>
      </c>
      <c r="E18" s="188">
        <v>0</v>
      </c>
      <c r="F18" s="188">
        <f t="shared" si="1"/>
        <v>0</v>
      </c>
      <c r="G18" s="294"/>
      <c r="H18" s="1712"/>
      <c r="I18" s="1867"/>
    </row>
    <row r="19" spans="1:9" ht="45" customHeight="1" thickBot="1" x14ac:dyDescent="0.25">
      <c r="A19" s="1940" t="str">
        <f>OF!A41</f>
        <v>OF8</v>
      </c>
      <c r="B19" s="1696" t="str">
        <f>OF!B41</f>
        <v>Local Vegetated Cover Percentage</v>
      </c>
      <c r="C19" s="240" t="str">
        <f>OF!C41</f>
        <v>Draw a 5-km radius circle measured from the center of the AA.  Ignoring all permanent water in the circle, the percent of the remaining area that is wooded or unmanaged herbaceous vegetation (NOT lawn, row crops, bare or heavily grazed land, clearcuts, or conifer plantations) is:</v>
      </c>
      <c r="D19" s="957"/>
      <c r="E19" s="38"/>
      <c r="F19" s="189"/>
      <c r="G19" s="297">
        <f>MAX(F20:F24)/MAX(E20:E24)</f>
        <v>0</v>
      </c>
      <c r="H19" s="1696" t="s">
        <v>87</v>
      </c>
      <c r="I19" s="1865" t="s">
        <v>183</v>
      </c>
    </row>
    <row r="20" spans="1:9" ht="15" customHeight="1" x14ac:dyDescent="0.2">
      <c r="A20" s="1940"/>
      <c r="B20" s="1696"/>
      <c r="C20" s="14" t="str">
        <f>OF!C42</f>
        <v xml:space="preserve">&lt;5% of the land. </v>
      </c>
      <c r="D20" s="129">
        <f>OF!D42</f>
        <v>0</v>
      </c>
      <c r="E20" s="35">
        <v>0</v>
      </c>
      <c r="F20" s="187">
        <f>D20*E20</f>
        <v>0</v>
      </c>
      <c r="G20" s="292"/>
      <c r="H20" s="1696"/>
      <c r="I20" s="1866"/>
    </row>
    <row r="21" spans="1:9" ht="15" customHeight="1" x14ac:dyDescent="0.2">
      <c r="A21" s="1940"/>
      <c r="B21" s="1696"/>
      <c r="C21" s="4" t="str">
        <f>OF!C43</f>
        <v>5 to 20% of the land.</v>
      </c>
      <c r="D21" s="33">
        <f>OF!D43</f>
        <v>0</v>
      </c>
      <c r="E21" s="35">
        <v>2</v>
      </c>
      <c r="F21" s="187">
        <f>D21*E21</f>
        <v>0</v>
      </c>
      <c r="G21" s="293"/>
      <c r="H21" s="1696"/>
      <c r="I21" s="1866"/>
    </row>
    <row r="22" spans="1:9" ht="15" customHeight="1" x14ac:dyDescent="0.2">
      <c r="A22" s="1940"/>
      <c r="B22" s="1696"/>
      <c r="C22" s="4" t="str">
        <f>OF!C44</f>
        <v>20 to 60% of the land.</v>
      </c>
      <c r="D22" s="33">
        <f>OF!D44</f>
        <v>0</v>
      </c>
      <c r="E22" s="35">
        <v>3</v>
      </c>
      <c r="F22" s="187">
        <f>D22*E22</f>
        <v>0</v>
      </c>
      <c r="G22" s="293"/>
      <c r="H22" s="1696"/>
      <c r="I22" s="1866"/>
    </row>
    <row r="23" spans="1:9" ht="15" customHeight="1" x14ac:dyDescent="0.2">
      <c r="A23" s="1940"/>
      <c r="B23" s="1696"/>
      <c r="C23" s="4" t="str">
        <f>OF!C45</f>
        <v>60 to 90% of the land.</v>
      </c>
      <c r="D23" s="33">
        <f>OF!D45</f>
        <v>0</v>
      </c>
      <c r="E23" s="35">
        <v>4</v>
      </c>
      <c r="F23" s="187">
        <f>D23*E23</f>
        <v>0</v>
      </c>
      <c r="G23" s="293"/>
      <c r="H23" s="1696"/>
      <c r="I23" s="1866"/>
    </row>
    <row r="24" spans="1:9" ht="15" customHeight="1" thickBot="1" x14ac:dyDescent="0.25">
      <c r="A24" s="1940"/>
      <c r="B24" s="1696"/>
      <c r="C24" s="241" t="str">
        <f>OF!C46</f>
        <v>&gt;90% of the land. SKIP to OF10.</v>
      </c>
      <c r="D24" s="128">
        <f>OF!D46</f>
        <v>0</v>
      </c>
      <c r="E24" s="34">
        <v>5</v>
      </c>
      <c r="F24" s="190">
        <f>D24*E24</f>
        <v>0</v>
      </c>
      <c r="G24" s="302"/>
      <c r="H24" s="1696"/>
      <c r="I24" s="1867"/>
    </row>
    <row r="25" spans="1:9" ht="30" customHeight="1" thickBot="1" x14ac:dyDescent="0.25">
      <c r="A25" s="1713" t="str">
        <f>OF!A47</f>
        <v>OF9</v>
      </c>
      <c r="B25" s="1693" t="str">
        <f>OF!B47</f>
        <v>Type of Land Cover Alteration</v>
      </c>
      <c r="C25" s="240" t="str">
        <f>OF!C47</f>
        <v>Within the 5-km radius circle, and ignoring all permanent water, the land area that is bare or non-perennial cover is mostly:</v>
      </c>
      <c r="D25" s="957"/>
      <c r="E25" s="191"/>
      <c r="F25" s="192"/>
      <c r="G25" s="291">
        <f>IF((D24=1),"",MAX(F26:F27)/MAX(E26:E27))</f>
        <v>0</v>
      </c>
      <c r="H25" s="1693" t="s">
        <v>1631</v>
      </c>
      <c r="I25" s="1865" t="s">
        <v>184</v>
      </c>
    </row>
    <row r="26" spans="1:9" ht="15" customHeight="1" x14ac:dyDescent="0.2">
      <c r="A26" s="1714"/>
      <c r="B26" s="1696"/>
      <c r="C26" s="14" t="str">
        <f>OF!C48</f>
        <v>Impervious surface, e.g., paved road, parking lot, building, exposed rock.</v>
      </c>
      <c r="D26" s="129">
        <f>OF!D48</f>
        <v>0</v>
      </c>
      <c r="E26" s="35">
        <v>0</v>
      </c>
      <c r="F26" s="187">
        <f>D26*E26</f>
        <v>0</v>
      </c>
      <c r="G26" s="292"/>
      <c r="H26" s="1696"/>
      <c r="I26" s="1866"/>
    </row>
    <row r="27" spans="1:9" ht="27" customHeight="1" thickBot="1" x14ac:dyDescent="0.25">
      <c r="A27" s="1715"/>
      <c r="B27" s="1712"/>
      <c r="C27" s="85" t="str">
        <f>OF!C49</f>
        <v>Bare pervious surface, e.g., lawn, recent (&lt;5 yrs ago) clearcut, dirt or gravel road, cropland, landslide, conifer plantation.</v>
      </c>
      <c r="D27" s="84">
        <f>OF!D49</f>
        <v>0</v>
      </c>
      <c r="E27" s="112">
        <v>1</v>
      </c>
      <c r="F27" s="188">
        <f>D27*E27</f>
        <v>0</v>
      </c>
      <c r="G27" s="294"/>
      <c r="H27" s="1712"/>
      <c r="I27" s="1867"/>
    </row>
    <row r="28" spans="1:9" ht="24" customHeight="1" thickBot="1" x14ac:dyDescent="0.25">
      <c r="A28" s="1940" t="str">
        <f>OF!A56</f>
        <v>OF11</v>
      </c>
      <c r="B28" s="1696" t="str">
        <f>OF!B56</f>
        <v>Distance to Nearest Maintained Road</v>
      </c>
      <c r="C28" s="240" t="str">
        <f>OF!C56</f>
        <v>From the center of the AA, the distance to the nearest maintained public road (dirt or paved) is:</v>
      </c>
      <c r="D28" s="957"/>
      <c r="E28" s="217"/>
      <c r="F28" s="189"/>
      <c r="G28" s="297">
        <f>MAX(F29:F34)/MAX(E29:E34)</f>
        <v>0</v>
      </c>
      <c r="H28" s="1696" t="s">
        <v>1463</v>
      </c>
      <c r="I28" s="1865" t="s">
        <v>181</v>
      </c>
    </row>
    <row r="29" spans="1:9" ht="15" customHeight="1" x14ac:dyDescent="0.2">
      <c r="A29" s="1940"/>
      <c r="B29" s="1696"/>
      <c r="C29" s="14" t="str">
        <f>OF!C57</f>
        <v>&lt;10 m.</v>
      </c>
      <c r="D29" s="129">
        <f>OF!D57</f>
        <v>0</v>
      </c>
      <c r="E29" s="211">
        <v>0</v>
      </c>
      <c r="F29" s="187">
        <f t="shared" ref="F29:F34" si="2">D29*E29</f>
        <v>0</v>
      </c>
      <c r="G29" s="292"/>
      <c r="H29" s="1696"/>
      <c r="I29" s="1866"/>
    </row>
    <row r="30" spans="1:9" ht="15" customHeight="1" x14ac:dyDescent="0.2">
      <c r="A30" s="1940"/>
      <c r="B30" s="1696"/>
      <c r="C30" s="4" t="str">
        <f>OF!C58</f>
        <v>10 - 25 m.</v>
      </c>
      <c r="D30" s="33">
        <f>OF!D58</f>
        <v>0</v>
      </c>
      <c r="E30" s="211">
        <v>2</v>
      </c>
      <c r="F30" s="187">
        <f t="shared" si="2"/>
        <v>0</v>
      </c>
      <c r="G30" s="293"/>
      <c r="H30" s="1696"/>
      <c r="I30" s="1866"/>
    </row>
    <row r="31" spans="1:9" ht="15" customHeight="1" x14ac:dyDescent="0.2">
      <c r="A31" s="1940"/>
      <c r="B31" s="1696"/>
      <c r="C31" s="4" t="str">
        <f>OF!C59</f>
        <v>25 - 50 m.</v>
      </c>
      <c r="D31" s="33">
        <f>OF!D59</f>
        <v>0</v>
      </c>
      <c r="E31" s="211">
        <v>3</v>
      </c>
      <c r="F31" s="187">
        <f t="shared" si="2"/>
        <v>0</v>
      </c>
      <c r="G31" s="293"/>
      <c r="H31" s="1696"/>
      <c r="I31" s="1866"/>
    </row>
    <row r="32" spans="1:9" ht="15" customHeight="1" x14ac:dyDescent="0.2">
      <c r="A32" s="1940"/>
      <c r="B32" s="1696"/>
      <c r="C32" s="4" t="str">
        <f>OF!C60</f>
        <v>50 - 100 m.</v>
      </c>
      <c r="D32" s="33">
        <f>OF!D60</f>
        <v>0</v>
      </c>
      <c r="E32" s="211">
        <v>4</v>
      </c>
      <c r="F32" s="187">
        <f t="shared" si="2"/>
        <v>0</v>
      </c>
      <c r="G32" s="293"/>
      <c r="H32" s="1696"/>
      <c r="I32" s="1866"/>
    </row>
    <row r="33" spans="1:9" ht="15" customHeight="1" x14ac:dyDescent="0.2">
      <c r="A33" s="1940"/>
      <c r="B33" s="1696"/>
      <c r="C33" s="4" t="str">
        <f>OF!C61</f>
        <v>100 - 500 m.</v>
      </c>
      <c r="D33" s="33">
        <f>OF!D61</f>
        <v>0</v>
      </c>
      <c r="E33" s="211">
        <v>5</v>
      </c>
      <c r="F33" s="187">
        <f t="shared" si="2"/>
        <v>0</v>
      </c>
      <c r="G33" s="293"/>
      <c r="H33" s="1696"/>
      <c r="I33" s="1866"/>
    </row>
    <row r="34" spans="1:9" ht="15" customHeight="1" thickBot="1" x14ac:dyDescent="0.25">
      <c r="A34" s="1940"/>
      <c r="B34" s="1696"/>
      <c r="C34" s="241" t="str">
        <f>OF!C62</f>
        <v>&gt;500 m.</v>
      </c>
      <c r="D34" s="128">
        <f>OF!D62</f>
        <v>0</v>
      </c>
      <c r="E34" s="213">
        <v>7</v>
      </c>
      <c r="F34" s="190">
        <f t="shared" si="2"/>
        <v>0</v>
      </c>
      <c r="G34" s="302"/>
      <c r="H34" s="1696"/>
      <c r="I34" s="1867"/>
    </row>
    <row r="35" spans="1:9" ht="114" customHeight="1" thickBot="1" x14ac:dyDescent="0.25">
      <c r="A35" s="88" t="str">
        <f>OF!A63</f>
        <v>OF12</v>
      </c>
      <c r="B35" s="3" t="str">
        <f>OF!B63</f>
        <v>Wildlife Access</v>
      </c>
      <c r="C35" s="90" t="str">
        <f>OF!C63</f>
        <v>Draw a circle of radius of 5 km from the center of the AA. If mammals and amphibians can move from the center of the AA to ALL other separate wetlands and ponds located within the circle without being forced to cross pavement (any width), lawns, bare ground, and/or marine waters, mark 1= yes can move to all, 0= no.  Change to blank if there are no other wetlands within 5 km.</v>
      </c>
      <c r="D35" s="460">
        <f>IF((OF!D63=""),"",OF!D63)</f>
        <v>0</v>
      </c>
      <c r="E35" s="220"/>
      <c r="F35" s="199"/>
      <c r="G35" s="291">
        <f>IF((D35=""),"",D35)</f>
        <v>0</v>
      </c>
      <c r="H35" s="3" t="s">
        <v>1632</v>
      </c>
      <c r="I35" s="894" t="s">
        <v>180</v>
      </c>
    </row>
    <row r="36" spans="1:9" ht="30" customHeight="1" thickBot="1" x14ac:dyDescent="0.25">
      <c r="A36" s="2009" t="str">
        <f>OF!A64</f>
        <v>OF13</v>
      </c>
      <c r="B36" s="1693" t="str">
        <f>OF!B64</f>
        <v>Distance to Ponded Water</v>
      </c>
      <c r="C36" s="240" t="str">
        <f>OF!C64</f>
        <v>The distance from the AA center to the closest (but separate) ponded water body visible in GoogleEarth imagery is:</v>
      </c>
      <c r="D36" s="679"/>
      <c r="E36" s="191"/>
      <c r="F36" s="209"/>
      <c r="G36" s="291">
        <f>MAX(F37:F43)/MAX(E37:E43)</f>
        <v>0</v>
      </c>
      <c r="H36" s="1693" t="s">
        <v>1627</v>
      </c>
      <c r="I36" s="1865" t="s">
        <v>186</v>
      </c>
    </row>
    <row r="37" spans="1:9" ht="27" customHeight="1" x14ac:dyDescent="0.2">
      <c r="A37" s="1714"/>
      <c r="B37" s="1696"/>
      <c r="C37" s="14" t="str">
        <f>OF!C65</f>
        <v xml:space="preserve">&lt;50 m, and not separated by any width of paved roads, stretches of open water, row crops, lawn, bare ground, or impervious surface. </v>
      </c>
      <c r="D37" s="33">
        <f>OF!D65</f>
        <v>0</v>
      </c>
      <c r="E37" s="187">
        <v>7</v>
      </c>
      <c r="F37" s="187">
        <f t="shared" ref="F37:F43" si="3">D37*E37</f>
        <v>0</v>
      </c>
      <c r="G37" s="292"/>
      <c r="H37" s="1696"/>
      <c r="I37" s="1866"/>
    </row>
    <row r="38" spans="1:9" ht="15" customHeight="1" x14ac:dyDescent="0.2">
      <c r="A38" s="1714"/>
      <c r="B38" s="1696"/>
      <c r="C38" s="14" t="str">
        <f>OF!C66</f>
        <v>&lt;50 m, but completely separated by those features.</v>
      </c>
      <c r="D38" s="129">
        <f>OF!D66</f>
        <v>0</v>
      </c>
      <c r="E38" s="187">
        <v>6</v>
      </c>
      <c r="F38" s="187">
        <f t="shared" si="3"/>
        <v>0</v>
      </c>
      <c r="G38" s="292"/>
      <c r="H38" s="1696"/>
      <c r="I38" s="1866"/>
    </row>
    <row r="39" spans="1:9" ht="15" customHeight="1" x14ac:dyDescent="0.2">
      <c r="A39" s="1714"/>
      <c r="B39" s="1696"/>
      <c r="C39" s="14" t="str">
        <f>OF!C67</f>
        <v>50-500 m, and not separated.</v>
      </c>
      <c r="D39" s="129">
        <f>OF!D67</f>
        <v>0</v>
      </c>
      <c r="E39" s="187">
        <v>5</v>
      </c>
      <c r="F39" s="187">
        <f t="shared" si="3"/>
        <v>0</v>
      </c>
      <c r="G39" s="292"/>
      <c r="H39" s="1696"/>
      <c r="I39" s="1866"/>
    </row>
    <row r="40" spans="1:9" ht="15" customHeight="1" x14ac:dyDescent="0.2">
      <c r="A40" s="1714"/>
      <c r="B40" s="1696"/>
      <c r="C40" s="14" t="str">
        <f>OF!C68</f>
        <v>50-500 m, but separated by those features.</v>
      </c>
      <c r="D40" s="129">
        <f>OF!D68</f>
        <v>0</v>
      </c>
      <c r="E40" s="187">
        <v>4</v>
      </c>
      <c r="F40" s="187">
        <f t="shared" si="3"/>
        <v>0</v>
      </c>
      <c r="G40" s="292"/>
      <c r="H40" s="1696"/>
      <c r="I40" s="1866"/>
    </row>
    <row r="41" spans="1:9" ht="15" customHeight="1" x14ac:dyDescent="0.2">
      <c r="A41" s="1714"/>
      <c r="B41" s="1696"/>
      <c r="C41" s="14" t="str">
        <f>OF!C69</f>
        <v>0.5 - 1 km, and not separated.</v>
      </c>
      <c r="D41" s="129">
        <f>OF!D69</f>
        <v>0</v>
      </c>
      <c r="E41" s="187">
        <v>3</v>
      </c>
      <c r="F41" s="187">
        <f t="shared" si="3"/>
        <v>0</v>
      </c>
      <c r="G41" s="292"/>
      <c r="H41" s="1696"/>
      <c r="I41" s="1866"/>
    </row>
    <row r="42" spans="1:9" ht="15" customHeight="1" x14ac:dyDescent="0.2">
      <c r="A42" s="1714"/>
      <c r="B42" s="1696"/>
      <c r="C42" s="14" t="str">
        <f>OF!C70</f>
        <v>0.5 - 1 km, but separated by those features.</v>
      </c>
      <c r="D42" s="129">
        <f>OF!D70</f>
        <v>0</v>
      </c>
      <c r="E42" s="187">
        <v>2</v>
      </c>
      <c r="F42" s="187">
        <f t="shared" si="3"/>
        <v>0</v>
      </c>
      <c r="G42" s="293"/>
      <c r="H42" s="1696"/>
      <c r="I42" s="1866"/>
    </row>
    <row r="43" spans="1:9" ht="15" customHeight="1" thickBot="1" x14ac:dyDescent="0.25">
      <c r="A43" s="1714"/>
      <c r="B43" s="1696"/>
      <c r="C43" s="14" t="str">
        <f>OF!C71</f>
        <v>None of the above (the closest patches or corridors that large are &gt;1 km away).</v>
      </c>
      <c r="D43" s="129">
        <f>OF!D71</f>
        <v>0</v>
      </c>
      <c r="E43" s="188">
        <v>0</v>
      </c>
      <c r="F43" s="187">
        <f t="shared" si="3"/>
        <v>0</v>
      </c>
      <c r="G43" s="293"/>
      <c r="H43" s="1696"/>
      <c r="I43" s="1867"/>
    </row>
    <row r="44" spans="1:9" ht="45" customHeight="1" thickBot="1" x14ac:dyDescent="0.25">
      <c r="A44" s="1693" t="str">
        <f>OF!A99</f>
        <v>OF20</v>
      </c>
      <c r="B44" s="1669" t="str">
        <f>OF!B99</f>
        <v xml:space="preserve">Degraded Water Upstream </v>
      </c>
      <c r="C44" s="55" t="str">
        <f>OF!C99</f>
        <v xml:space="preserve">Sampling indicates a problem with concentrations of metals, hydrocarbons, nutrients, or other substances (excluding bacteria, acidic water, high temperatures) being present at levels harmful to aquatic life or humans, and:  </v>
      </c>
      <c r="D44" s="220"/>
      <c r="E44" s="290"/>
      <c r="F44" s="192"/>
      <c r="G44" s="291">
        <f>IF((D48=1),"", IF((D47=1),1, IF((D46=1),0.2, 0)))</f>
        <v>0</v>
      </c>
      <c r="H44" s="1669" t="s">
        <v>1883</v>
      </c>
      <c r="I44" s="1865" t="s">
        <v>188</v>
      </c>
    </row>
    <row r="45" spans="1:9" ht="15" customHeight="1" x14ac:dyDescent="0.2">
      <c r="A45" s="1696"/>
      <c r="B45" s="1670"/>
      <c r="C45" s="1324" t="str">
        <f>OF!C100</f>
        <v>The condition is present within the AA.</v>
      </c>
      <c r="D45" s="129">
        <f>OF!D100</f>
        <v>0</v>
      </c>
      <c r="E45" s="211"/>
      <c r="F45" s="187"/>
      <c r="G45" s="292"/>
      <c r="H45" s="1670"/>
      <c r="I45" s="1866"/>
    </row>
    <row r="46" spans="1:9" ht="27" customHeight="1" x14ac:dyDescent="0.2">
      <c r="A46" s="1696"/>
      <c r="B46" s="1670"/>
      <c r="C46" s="1324" t="str">
        <f>OF!C101</f>
        <v>The condition is present in waters within 1 km that flow into the AA, but has not been documented in the AA itself.</v>
      </c>
      <c r="D46" s="129">
        <f>OF!D101</f>
        <v>0</v>
      </c>
      <c r="E46" s="211"/>
      <c r="F46" s="187"/>
      <c r="G46" s="293"/>
      <c r="H46" s="1670"/>
      <c r="I46" s="1866"/>
    </row>
    <row r="47" spans="1:9" ht="27" customHeight="1" x14ac:dyDescent="0.2">
      <c r="A47" s="1696"/>
      <c r="B47" s="1670"/>
      <c r="C47" s="1324" t="str">
        <f>OF!C102</f>
        <v>Sampling during both low water periods and times with high runoff (storms, snowmelt) indicates no problems in either the AA or inflowing waters.</v>
      </c>
      <c r="D47" s="129">
        <f>OF!D102</f>
        <v>0</v>
      </c>
      <c r="E47" s="211"/>
      <c r="F47" s="187"/>
      <c r="G47" s="293"/>
      <c r="H47" s="1670"/>
      <c r="I47" s="1866"/>
    </row>
    <row r="48" spans="1:9" ht="27" customHeight="1" thickBot="1" x14ac:dyDescent="0.25">
      <c r="A48" s="1712"/>
      <c r="B48" s="1671"/>
      <c r="C48" s="1326" t="str">
        <f>OF!C103</f>
        <v>Data are insufficient (no or inadequate sampling within 1 km, or condition exists only at &gt;1 km upstream). This is the situation for nearly all wetlands in this region.</v>
      </c>
      <c r="D48" s="151">
        <f>OF!D103</f>
        <v>0</v>
      </c>
      <c r="E48" s="215"/>
      <c r="F48" s="188"/>
      <c r="G48" s="294"/>
      <c r="H48" s="1671"/>
      <c r="I48" s="1867"/>
    </row>
    <row r="49" spans="1:30" ht="27" customHeight="1" thickBot="1" x14ac:dyDescent="0.25">
      <c r="A49" s="1721" t="str">
        <f>OF!A122</f>
        <v>OF25</v>
      </c>
      <c r="B49" s="1669" t="str">
        <f>OF!B122</f>
        <v>Aspect</v>
      </c>
      <c r="C49" s="55" t="str">
        <f>OF!C122</f>
        <v>The overland flow direction of most surface water (in streams, rivers, or runoff) that enters the AA is:</v>
      </c>
      <c r="D49" s="957"/>
      <c r="E49" s="290"/>
      <c r="F49" s="192"/>
      <c r="G49" s="291">
        <f>IF((NoCA=1),"", MAX(F50:F52)/MAX(E50:E52))</f>
        <v>0</v>
      </c>
      <c r="H49" s="1669" t="s">
        <v>2240</v>
      </c>
      <c r="I49" s="1865" t="s">
        <v>190</v>
      </c>
    </row>
    <row r="50" spans="1:30" ht="15" customHeight="1" x14ac:dyDescent="0.2">
      <c r="A50" s="1703"/>
      <c r="B50" s="1670"/>
      <c r="C50" s="1324" t="str">
        <f>OF!C123</f>
        <v>Northward (N, NE). north-facing contributing area.</v>
      </c>
      <c r="D50" s="129">
        <f>OF!D123</f>
        <v>0</v>
      </c>
      <c r="E50" s="211">
        <v>1</v>
      </c>
      <c r="F50" s="187">
        <f>D50*E50</f>
        <v>0</v>
      </c>
      <c r="G50" s="292"/>
      <c r="H50" s="1670"/>
      <c r="I50" s="1866"/>
    </row>
    <row r="51" spans="1:30" ht="15" customHeight="1" x14ac:dyDescent="0.2">
      <c r="A51" s="1703"/>
      <c r="B51" s="1670"/>
      <c r="C51" s="1058" t="str">
        <f>OF!C124</f>
        <v>Southward (S, SW). south-facing contributing area.</v>
      </c>
      <c r="D51" s="33">
        <f>OF!D124</f>
        <v>0</v>
      </c>
      <c r="E51" s="211">
        <v>3</v>
      </c>
      <c r="F51" s="187">
        <f>D51*E51</f>
        <v>0</v>
      </c>
      <c r="G51" s="293"/>
      <c r="H51" s="1670"/>
      <c r="I51" s="1866"/>
    </row>
    <row r="52" spans="1:30" ht="15" customHeight="1" thickBot="1" x14ac:dyDescent="0.25">
      <c r="A52" s="1722"/>
      <c r="B52" s="1671"/>
      <c r="C52" s="1061" t="str">
        <f>OF!C125</f>
        <v>Other (E, SE, W, NW), or no detectable uphill slope or input channel (flat).</v>
      </c>
      <c r="D52" s="84">
        <f>OF!D125</f>
        <v>0</v>
      </c>
      <c r="E52" s="215">
        <v>2</v>
      </c>
      <c r="F52" s="188">
        <f>D52*E52</f>
        <v>0</v>
      </c>
      <c r="G52" s="294"/>
      <c r="H52" s="1671"/>
      <c r="I52" s="1867"/>
    </row>
    <row r="53" spans="1:30" ht="57.75" customHeight="1" thickBot="1" x14ac:dyDescent="0.25">
      <c r="A53" s="1127" t="str">
        <f>OF!A133</f>
        <v>OF27</v>
      </c>
      <c r="B53" s="1125" t="str">
        <f>OF!B133</f>
        <v>Growing Degree Days</v>
      </c>
      <c r="C53" s="1124" t="str">
        <f>OF!C133</f>
        <v>In Google Earth, open the KMZ file that accompanies this calculator, called NB-PEI_GrowingDegreeDays. Place your cursor over the AA and left-click. From the pop-up, enter the GRIDCODE in the next column.</v>
      </c>
      <c r="D53" s="1413">
        <f>OF!D133</f>
        <v>0</v>
      </c>
      <c r="E53" s="115"/>
      <c r="F53" s="194"/>
      <c r="G53" s="268" t="str">
        <f>IF((GrowD&lt;1),"",(GrowD-1305)/1328)</f>
        <v/>
      </c>
      <c r="H53" s="434" t="s">
        <v>1464</v>
      </c>
      <c r="I53" s="1126" t="s">
        <v>2410</v>
      </c>
    </row>
    <row r="54" spans="1:30" s="650" customFormat="1" ht="21" customHeight="1" thickBot="1" x14ac:dyDescent="0.25">
      <c r="A54" s="1669" t="str">
        <f>OF!A134</f>
        <v>OF28</v>
      </c>
      <c r="B54" s="1669" t="str">
        <f>OF!B134</f>
        <v>Fish Access or Use</v>
      </c>
      <c r="C54" s="55" t="str">
        <f>OF!C134</f>
        <v>According to agency biologists and/or your own observations, the AA. [Mark just the first choice that is true.]:</v>
      </c>
      <c r="D54" s="957"/>
      <c r="E54" s="110"/>
      <c r="F54" s="192"/>
      <c r="G54" s="291" t="str">
        <f>IF((D58=1),1,"")</f>
        <v/>
      </c>
      <c r="H54" s="1669" t="s">
        <v>1633</v>
      </c>
      <c r="I54" s="1865" t="s">
        <v>187</v>
      </c>
      <c r="J54" s="5"/>
      <c r="K54" s="58"/>
      <c r="L54" s="5"/>
      <c r="M54" s="5"/>
      <c r="N54" s="5"/>
      <c r="O54" s="5"/>
      <c r="P54" s="5"/>
      <c r="Q54" s="5"/>
      <c r="R54" s="5"/>
      <c r="S54" s="5"/>
      <c r="T54" s="5"/>
      <c r="U54" s="5"/>
      <c r="V54" s="5"/>
      <c r="W54" s="5"/>
      <c r="X54" s="5"/>
      <c r="Y54" s="5"/>
      <c r="Z54" s="5"/>
      <c r="AA54" s="5"/>
      <c r="AB54" s="5"/>
      <c r="AC54" s="5"/>
      <c r="AD54" s="5"/>
    </row>
    <row r="55" spans="1:30" ht="42" customHeight="1" x14ac:dyDescent="0.2">
      <c r="A55" s="1670"/>
      <c r="B55" s="1670"/>
      <c r="C55" s="1324" t="str">
        <f>OF!C135</f>
        <v>Is known to support rearing and/or spawning by Atlantic salmon or other anadromous species or eels.  In NB, consult Figure A-2 in Appendix A of the Manual.  Contact local fishery biologists, review the ACCDC report, and visit these websites: http://www.salmonatlas.com/atlanticsalmon/canada-east/index.1.html    http://atlanticsalmonfederation.org/rivers/introduction.html</v>
      </c>
      <c r="D55" s="129">
        <f>OF!D135</f>
        <v>0</v>
      </c>
      <c r="E55" s="38">
        <v>0</v>
      </c>
      <c r="F55" s="190">
        <f>D55*E55</f>
        <v>0</v>
      </c>
      <c r="G55" s="292"/>
      <c r="H55" s="1670"/>
      <c r="I55" s="1866"/>
    </row>
    <row r="56" spans="1:30" ht="42" customHeight="1" x14ac:dyDescent="0.2">
      <c r="A56" s="1670"/>
      <c r="B56" s="1670"/>
      <c r="C56" s="1058" t="str">
        <f>OF!C136</f>
        <v>Has not been documented to support Atlantic salmon rearing and/or spawning, but is connected to nearby waters likely to contain Atlantic salmon or other anadromous species or eels and is probably accessed by those during some conditions.</v>
      </c>
      <c r="D56" s="33">
        <f>OF!D136</f>
        <v>0</v>
      </c>
      <c r="E56" s="38">
        <v>0</v>
      </c>
      <c r="F56" s="190">
        <f>D56*E56</f>
        <v>0</v>
      </c>
      <c r="G56" s="293"/>
      <c r="H56" s="1670"/>
      <c r="I56" s="1866"/>
    </row>
    <row r="57" spans="1:30" ht="27" customHeight="1" x14ac:dyDescent="0.2">
      <c r="A57" s="1670"/>
      <c r="B57" s="1670"/>
      <c r="C57" s="1058" t="str">
        <f>OF!C137</f>
        <v>Is probably is not accessed by any anadromous fish species but is known or likely to have other fish at least seasonally.</v>
      </c>
      <c r="D57" s="33">
        <f>OF!D137</f>
        <v>0</v>
      </c>
      <c r="E57" s="38">
        <v>0</v>
      </c>
      <c r="F57" s="190">
        <f>D57*E57</f>
        <v>0</v>
      </c>
      <c r="G57" s="293"/>
      <c r="H57" s="1670"/>
      <c r="I57" s="1866"/>
    </row>
    <row r="58" spans="1:30" s="651" customFormat="1" ht="27" customHeight="1" thickBot="1" x14ac:dyDescent="0.25">
      <c r="A58" s="1671"/>
      <c r="B58" s="1671"/>
      <c r="C58" s="1061" t="str">
        <f>OF!C138</f>
        <v xml:space="preserve">Is known or likely to be fishless (e.g., too small, dry, and/or not accessible even temporarily, and not stocked). </v>
      </c>
      <c r="D58" s="84">
        <f>OF!D138</f>
        <v>0</v>
      </c>
      <c r="E58" s="453">
        <v>1</v>
      </c>
      <c r="F58" s="188">
        <f>D58*E58</f>
        <v>0</v>
      </c>
      <c r="G58" s="294"/>
      <c r="H58" s="1671"/>
      <c r="I58" s="1867"/>
      <c r="J58" s="5"/>
      <c r="K58" s="58"/>
      <c r="L58" s="5"/>
      <c r="M58" s="5"/>
      <c r="N58" s="5"/>
      <c r="O58" s="5"/>
      <c r="P58" s="5"/>
      <c r="Q58" s="5"/>
      <c r="R58" s="5"/>
      <c r="S58" s="5"/>
      <c r="T58" s="5"/>
      <c r="U58" s="5"/>
      <c r="V58" s="5"/>
      <c r="W58" s="5"/>
      <c r="X58" s="5"/>
      <c r="Y58" s="5"/>
      <c r="Z58" s="5"/>
      <c r="AA58" s="5"/>
      <c r="AB58" s="5"/>
      <c r="AC58" s="5"/>
      <c r="AD58" s="5"/>
    </row>
    <row r="59" spans="1:30" ht="60" customHeight="1" thickBot="1" x14ac:dyDescent="0.25">
      <c r="A59" s="434" t="str">
        <f>OF!A152</f>
        <v>OF37</v>
      </c>
      <c r="B59" s="434" t="str">
        <f>OF!B152</f>
        <v>Calcareous Region</v>
      </c>
      <c r="C59" s="1156" t="str">
        <f>OF!C152</f>
        <v xml:space="preserve">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&gt;8).See Figure A-6 in Appendix A of the Manual.  If no map coverage, change to blank.
</v>
      </c>
      <c r="D59" s="114">
        <f>OF!D152</f>
        <v>0</v>
      </c>
      <c r="E59" s="1439"/>
      <c r="F59" s="200"/>
      <c r="G59" s="291">
        <f>IF((D59=""),"",D59/3)</f>
        <v>0</v>
      </c>
      <c r="H59" s="36" t="s">
        <v>2579</v>
      </c>
      <c r="I59" s="894" t="s">
        <v>2580</v>
      </c>
    </row>
    <row r="60" spans="1:30" ht="21" customHeight="1" thickBot="1" x14ac:dyDescent="0.25">
      <c r="A60" s="1669" t="str">
        <f>F!A4</f>
        <v>F1</v>
      </c>
      <c r="B60" s="1669" t="str">
        <f>F!B4</f>
        <v>Wetland Type</v>
      </c>
      <c r="C60" s="240" t="str">
        <f>F!C4</f>
        <v>Follow the key below and mark the ONE row that best describes MOST of the vegetated part of the AA:</v>
      </c>
      <c r="D60" s="679"/>
      <c r="E60" s="290"/>
      <c r="F60" s="209"/>
      <c r="G60" s="291">
        <f>MAX(F61:F66)/MAX(E61:E66)</f>
        <v>0</v>
      </c>
      <c r="H60" s="1669" t="s">
        <v>2282</v>
      </c>
      <c r="I60" s="1865" t="s">
        <v>162</v>
      </c>
    </row>
    <row r="61" spans="1:30" ht="57" customHeight="1" thickBot="1" x14ac:dyDescent="0.25">
      <c r="A61" s="1670"/>
      <c r="B61" s="1670"/>
      <c r="C61" s="3" t="str">
        <f>F!C5</f>
        <v>A. Moss and/or lichen cover more than 25%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v>
      </c>
      <c r="D61" s="211"/>
      <c r="E61" s="211"/>
      <c r="F61" s="211"/>
      <c r="G61" s="292"/>
      <c r="H61" s="1670"/>
      <c r="I61" s="1866"/>
    </row>
    <row r="62" spans="1:30" ht="72" customHeight="1" x14ac:dyDescent="0.2">
      <c r="A62" s="1670"/>
      <c r="B62" s="1670"/>
      <c r="C62" s="14" t="str">
        <f>F!C6</f>
        <v>A1.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(Carex rariflora). Wetland surface and surrounding landscape are seldom sloping and wetland often is domed (convex). Inlet and outlet channels are usually absent.  If known, pH of peat is &lt;4.0.</v>
      </c>
      <c r="D62" s="146">
        <f>F!D6</f>
        <v>0</v>
      </c>
      <c r="E62" s="211">
        <v>1</v>
      </c>
      <c r="F62" s="187">
        <f>D62*E62</f>
        <v>0</v>
      </c>
      <c r="G62" s="293"/>
      <c r="H62" s="1670"/>
      <c r="I62" s="1866"/>
    </row>
    <row r="63" spans="1:30" ht="57" customHeight="1" thickBot="1" x14ac:dyDescent="0.25">
      <c r="A63" s="1670"/>
      <c r="B63" s="1670"/>
      <c r="C63" s="241" t="str">
        <f>F!C7</f>
        <v>A2.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v>
      </c>
      <c r="D63" s="146">
        <f>F!D7</f>
        <v>0</v>
      </c>
      <c r="E63" s="211">
        <v>2</v>
      </c>
      <c r="F63" s="187">
        <f>D63*E63</f>
        <v>0</v>
      </c>
      <c r="G63" s="293"/>
      <c r="H63" s="1670"/>
      <c r="I63" s="1866"/>
    </row>
    <row r="64" spans="1:30" ht="30" customHeight="1" thickBot="1" x14ac:dyDescent="0.25">
      <c r="A64" s="1670"/>
      <c r="B64" s="1670"/>
      <c r="C64" s="3" t="str">
        <f>F!C8</f>
        <v>B. Moss and/or lichen cover less than 25% of the ground. Soil is mineral or decomposed organic (muck). Choose between B1 and B2 and mark the choice with a 1 in their adjoining column:</v>
      </c>
      <c r="D64" s="672"/>
      <c r="E64" s="211"/>
      <c r="F64" s="187"/>
      <c r="G64" s="292"/>
      <c r="H64" s="1670"/>
      <c r="I64" s="1866"/>
    </row>
    <row r="65" spans="1:9" ht="27" customHeight="1" x14ac:dyDescent="0.2">
      <c r="A65" s="1670"/>
      <c r="B65" s="1670"/>
      <c r="C65" s="14" t="str">
        <f>F!C9</f>
        <v>B1. Trees and shrubs taller than 1 m comprise more than 25% of the vegetated cover. Surface water is mostly absent or inundates the vegetation only seasonally (e.g., vernal pools or floodplain).</v>
      </c>
      <c r="D65" s="146">
        <f>F!D9</f>
        <v>0</v>
      </c>
      <c r="E65" s="211">
        <v>2</v>
      </c>
      <c r="F65" s="187">
        <f>D65*E65</f>
        <v>0</v>
      </c>
      <c r="G65" s="292"/>
      <c r="H65" s="1670"/>
      <c r="I65" s="1866"/>
    </row>
    <row r="66" spans="1:9" ht="42" customHeight="1" thickBot="1" x14ac:dyDescent="0.25">
      <c r="A66" s="1671"/>
      <c r="B66" s="1671"/>
      <c r="C66" s="85" t="str">
        <f>F!C10</f>
        <v>B2. Not B1.  Tree &amp; tall shrubs comprise less than than 25% of the vegetated cover.  Vegetation is mostly herbaceous, e.g., cattail, bulrush, burreed, pond lily, horsetail. Surface water may be extensive and fluctuates seasonally, being either persistent or drying up partly or entirely.</v>
      </c>
      <c r="D66" s="147">
        <f>F!D10</f>
        <v>0</v>
      </c>
      <c r="E66" s="215">
        <v>3</v>
      </c>
      <c r="F66" s="188">
        <f>D66*E66</f>
        <v>0</v>
      </c>
      <c r="G66" s="294"/>
      <c r="H66" s="1671"/>
      <c r="I66" s="1867"/>
    </row>
    <row r="67" spans="1:9" ht="45" customHeight="1" thickBot="1" x14ac:dyDescent="0.25">
      <c r="A67" s="2006" t="str">
        <f>F!A12</f>
        <v>F2</v>
      </c>
      <c r="B67" s="1670" t="str">
        <f>F!B12</f>
        <v xml:space="preserve">Wetland Types - Adjoining or Subordinate </v>
      </c>
      <c r="C67" s="787" t="str">
        <f>F!C12</f>
        <v>If the AA is smaller than 1 ha, mark all other types that occupy more than 1% of the vegetated AA.  If the AA is larger than 1 ha, mark all other types which are within or adjacent to the AA and occupy more than 1 ha, as visible from the AA or as interpreted from aerial imagery.  Do not mark again the type marked in F1.</v>
      </c>
      <c r="D67" s="429"/>
      <c r="E67" s="217"/>
      <c r="F67" s="186"/>
      <c r="G67" s="297">
        <f>SUM(D68:D71)/3</f>
        <v>0</v>
      </c>
      <c r="H67" s="1670" t="s">
        <v>2376</v>
      </c>
      <c r="I67" s="1865" t="s">
        <v>1690</v>
      </c>
    </row>
    <row r="68" spans="1:9" ht="15" customHeight="1" x14ac:dyDescent="0.2">
      <c r="A68" s="2006"/>
      <c r="B68" s="1670"/>
      <c r="C68" s="14" t="str">
        <f>F!C13</f>
        <v>A1.</v>
      </c>
      <c r="D68" s="33">
        <f>F!D13</f>
        <v>0</v>
      </c>
      <c r="E68" s="211"/>
      <c r="F68" s="187"/>
      <c r="G68" s="293"/>
      <c r="H68" s="1670"/>
      <c r="I68" s="1866"/>
    </row>
    <row r="69" spans="1:9" ht="15" customHeight="1" x14ac:dyDescent="0.2">
      <c r="A69" s="2006"/>
      <c r="B69" s="1670"/>
      <c r="C69" s="4" t="str">
        <f>F!C14</f>
        <v>A2.</v>
      </c>
      <c r="D69" s="33">
        <f>F!D14</f>
        <v>0</v>
      </c>
      <c r="E69" s="211"/>
      <c r="F69" s="187"/>
      <c r="G69" s="293"/>
      <c r="H69" s="1670"/>
      <c r="I69" s="1866"/>
    </row>
    <row r="70" spans="1:9" ht="15" customHeight="1" x14ac:dyDescent="0.2">
      <c r="A70" s="2006"/>
      <c r="B70" s="1670"/>
      <c r="C70" s="4" t="str">
        <f>F!C15</f>
        <v>B1.</v>
      </c>
      <c r="D70" s="33">
        <f>F!D15</f>
        <v>0</v>
      </c>
      <c r="E70" s="211"/>
      <c r="F70" s="187"/>
      <c r="G70" s="293"/>
      <c r="H70" s="1670"/>
      <c r="I70" s="1866"/>
    </row>
    <row r="71" spans="1:9" ht="15" customHeight="1" thickBot="1" x14ac:dyDescent="0.25">
      <c r="A71" s="2007"/>
      <c r="B71" s="1671"/>
      <c r="C71" s="85" t="str">
        <f>F!C16</f>
        <v>B2.</v>
      </c>
      <c r="D71" s="84">
        <f>F!D16</f>
        <v>0</v>
      </c>
      <c r="E71" s="215"/>
      <c r="F71" s="188"/>
      <c r="G71" s="294"/>
      <c r="H71" s="1671"/>
      <c r="I71" s="1867"/>
    </row>
    <row r="72" spans="1:9" ht="48" customHeight="1" thickBot="1" x14ac:dyDescent="0.25">
      <c r="A72" s="1713" t="str">
        <f>F!A28</f>
        <v>F5</v>
      </c>
      <c r="B72" s="1696" t="str">
        <f>F!B28</f>
        <v>Woody Diameter Classes</v>
      </c>
      <c r="C72" s="245" t="str">
        <f>F!C28</f>
        <v>Mark ALL the types that comprise &gt;5% of the woody canopy cover in the AA or &gt;5% of the wooded areas (if any) along its upland edge (perimeter).  The edge should include only the trees whose canopies extend into the AA.</v>
      </c>
      <c r="D72" s="957"/>
      <c r="E72" s="186"/>
      <c r="F72" s="208"/>
      <c r="G72" s="297" t="str">
        <f>IF((MAX(F!D18:D21)&lt;2),"", ((SUM(D73:D80)/8+ MAX(F73:F80)/MAX(E73:E80))/2))</f>
        <v/>
      </c>
      <c r="H72" s="1696" t="s">
        <v>1634</v>
      </c>
      <c r="I72" s="1865" t="s">
        <v>170</v>
      </c>
    </row>
    <row r="73" spans="1:9" ht="15" customHeight="1" x14ac:dyDescent="0.2">
      <c r="A73" s="1714"/>
      <c r="B73" s="1696"/>
      <c r="C73" s="14" t="str">
        <f>F!C29</f>
        <v>coniferous, 1-9 cm diameter and &gt;1 m tall.</v>
      </c>
      <c r="D73" s="129">
        <f>F!D29</f>
        <v>0</v>
      </c>
      <c r="E73" s="187">
        <v>1</v>
      </c>
      <c r="F73" s="187">
        <f t="shared" ref="F73:F87" si="4">D73*E73</f>
        <v>0</v>
      </c>
      <c r="G73" s="292"/>
      <c r="H73" s="1696"/>
      <c r="I73" s="1866"/>
    </row>
    <row r="74" spans="1:9" ht="15" customHeight="1" x14ac:dyDescent="0.2">
      <c r="A74" s="1714"/>
      <c r="B74" s="1696"/>
      <c r="C74" s="4" t="str">
        <f>F!C30</f>
        <v>broad-leaved deciduous 1-9 cm diameter and &gt;1 m tall.</v>
      </c>
      <c r="D74" s="33">
        <f>F!D30</f>
        <v>0</v>
      </c>
      <c r="E74" s="187">
        <v>1</v>
      </c>
      <c r="F74" s="187">
        <f t="shared" si="4"/>
        <v>0</v>
      </c>
      <c r="G74" s="293"/>
      <c r="H74" s="1696"/>
      <c r="I74" s="1866"/>
    </row>
    <row r="75" spans="1:9" ht="15" customHeight="1" x14ac:dyDescent="0.2">
      <c r="A75" s="1714"/>
      <c r="B75" s="1696"/>
      <c r="C75" s="4" t="str">
        <f>F!C31</f>
        <v>coniferous, 10-19 cm diameter.</v>
      </c>
      <c r="D75" s="33">
        <f>F!D31</f>
        <v>0</v>
      </c>
      <c r="E75" s="187">
        <v>2</v>
      </c>
      <c r="F75" s="187">
        <f t="shared" si="4"/>
        <v>0</v>
      </c>
      <c r="G75" s="293"/>
      <c r="H75" s="1696"/>
      <c r="I75" s="1866"/>
    </row>
    <row r="76" spans="1:9" ht="15" customHeight="1" x14ac:dyDescent="0.2">
      <c r="A76" s="1714"/>
      <c r="B76" s="1696"/>
      <c r="C76" s="4" t="str">
        <f>F!C32</f>
        <v>broad-leaved deciduous 10-19 cm diameter.</v>
      </c>
      <c r="D76" s="33">
        <f>F!D32</f>
        <v>0</v>
      </c>
      <c r="E76" s="187">
        <v>2</v>
      </c>
      <c r="F76" s="187">
        <f t="shared" si="4"/>
        <v>0</v>
      </c>
      <c r="G76" s="293"/>
      <c r="H76" s="1696"/>
      <c r="I76" s="1866"/>
    </row>
    <row r="77" spans="1:9" ht="15" customHeight="1" x14ac:dyDescent="0.2">
      <c r="A77" s="1714"/>
      <c r="B77" s="1696"/>
      <c r="C77" s="4" t="str">
        <f>F!C33</f>
        <v>coniferous, 20-40 cm diameter.</v>
      </c>
      <c r="D77" s="33">
        <f>F!D33</f>
        <v>0</v>
      </c>
      <c r="E77" s="187">
        <v>3</v>
      </c>
      <c r="F77" s="187">
        <f t="shared" si="4"/>
        <v>0</v>
      </c>
      <c r="G77" s="293"/>
      <c r="H77" s="1696"/>
      <c r="I77" s="1866"/>
    </row>
    <row r="78" spans="1:9" ht="15" customHeight="1" x14ac:dyDescent="0.2">
      <c r="A78" s="1714"/>
      <c r="B78" s="1696"/>
      <c r="C78" s="4" t="str">
        <f>F!C34</f>
        <v>broad-leaved deciduous 20-40 cm diameter.</v>
      </c>
      <c r="D78" s="33">
        <f>F!D34</f>
        <v>0</v>
      </c>
      <c r="E78" s="187">
        <v>3</v>
      </c>
      <c r="F78" s="187">
        <f t="shared" si="4"/>
        <v>0</v>
      </c>
      <c r="G78" s="293"/>
      <c r="H78" s="1696"/>
      <c r="I78" s="1866"/>
    </row>
    <row r="79" spans="1:9" ht="15" customHeight="1" x14ac:dyDescent="0.2">
      <c r="A79" s="1714"/>
      <c r="B79" s="1696"/>
      <c r="C79" s="4" t="str">
        <f>F!C35</f>
        <v>coniferous, &gt;40 cm diameter.</v>
      </c>
      <c r="D79" s="33">
        <f>F!D35</f>
        <v>0</v>
      </c>
      <c r="E79" s="187">
        <v>4</v>
      </c>
      <c r="F79" s="187">
        <f t="shared" si="4"/>
        <v>0</v>
      </c>
      <c r="G79" s="293"/>
      <c r="H79" s="1696"/>
      <c r="I79" s="1866"/>
    </row>
    <row r="80" spans="1:9" ht="15" customHeight="1" thickBot="1" x14ac:dyDescent="0.25">
      <c r="A80" s="1714"/>
      <c r="B80" s="1696"/>
      <c r="C80" s="241" t="str">
        <f>F!C36</f>
        <v>broad-leaved deciduous &gt;40 cm diameter.</v>
      </c>
      <c r="D80" s="128">
        <f>F!D36</f>
        <v>0</v>
      </c>
      <c r="E80" s="190">
        <v>4</v>
      </c>
      <c r="F80" s="190">
        <f t="shared" si="4"/>
        <v>0</v>
      </c>
      <c r="G80" s="302"/>
      <c r="H80" s="1696"/>
      <c r="I80" s="1867"/>
    </row>
    <row r="81" spans="1:54" ht="21" customHeight="1" thickBot="1" x14ac:dyDescent="0.25">
      <c r="A81" s="1669" t="str">
        <f>F!A37</f>
        <v>F6</v>
      </c>
      <c r="B81" s="1669" t="str">
        <f>F!B37</f>
        <v>Height Class Interspersion</v>
      </c>
      <c r="C81" s="240" t="str">
        <f>F!C37</f>
        <v>Follow the key below and mark the ONE row that best describes MOST of the AA:</v>
      </c>
      <c r="D81" s="202"/>
      <c r="E81" s="191"/>
      <c r="F81" s="191"/>
      <c r="G81" s="288" t="str">
        <f>IF((MAX(F!D18:D21)&lt;2),"", MAX(F83:F87)/MAX(E83:E87))</f>
        <v/>
      </c>
      <c r="H81" s="1856" t="s">
        <v>1580</v>
      </c>
      <c r="I81" s="1865" t="s">
        <v>1581</v>
      </c>
    </row>
    <row r="82" spans="1:54" ht="39" thickBot="1" x14ac:dyDescent="0.25">
      <c r="A82" s="1670"/>
      <c r="B82" s="1670"/>
      <c r="C82" s="240" t="str">
        <f>F!C38</f>
        <v xml:space="preserve">A. Neither the vegetation taller than 1 m nor the vegetation shorter than that comprise &gt;70% of the vegetated part of the AA.  They each comprise 30-70%.  Choose between A1 and A2 and mark the choice with a 1 in the adjoining column.  Otherwise go to B below. </v>
      </c>
      <c r="D82" s="205"/>
      <c r="E82" s="186"/>
      <c r="F82" s="186"/>
      <c r="G82" s="763"/>
      <c r="H82" s="1925"/>
      <c r="I82" s="1866"/>
    </row>
    <row r="83" spans="1:54" ht="15" customHeight="1" x14ac:dyDescent="0.2">
      <c r="A83" s="1670"/>
      <c r="B83" s="1670"/>
      <c r="C83" s="14" t="str">
        <f>F!C39</f>
        <v>A1. The two height classes are mostly scattered and intermixed throughout the AA.</v>
      </c>
      <c r="D83" s="146">
        <f>F!D39</f>
        <v>0</v>
      </c>
      <c r="E83" s="187">
        <v>3</v>
      </c>
      <c r="F83" s="187">
        <f t="shared" si="4"/>
        <v>0</v>
      </c>
      <c r="G83" s="763"/>
      <c r="H83" s="1925"/>
      <c r="I83" s="1866"/>
    </row>
    <row r="84" spans="1:54" ht="27" customHeight="1" thickBot="1" x14ac:dyDescent="0.25">
      <c r="A84" s="1670"/>
      <c r="B84" s="1670"/>
      <c r="C84" s="241" t="str">
        <f>F!C40</f>
        <v>A2. Not A1.  The two height classes are mostly in separate zones or bands, or in proportionately large clumps.</v>
      </c>
      <c r="D84" s="146">
        <f>F!D40</f>
        <v>0</v>
      </c>
      <c r="E84" s="187">
        <v>2</v>
      </c>
      <c r="F84" s="187">
        <f t="shared" si="4"/>
        <v>0</v>
      </c>
      <c r="G84" s="763"/>
      <c r="H84" s="1925"/>
      <c r="I84" s="1866"/>
    </row>
    <row r="85" spans="1:54" ht="39" thickBot="1" x14ac:dyDescent="0.25">
      <c r="A85" s="1670"/>
      <c r="B85" s="1670"/>
      <c r="C85" s="240" t="str">
        <f>F!C41</f>
        <v>B. Either the vegetation shorter than 1 m comprises &gt;70% of the vegetated part of the AA, or the vegetation taller than that does.  One size class might even be totally absent.  Choose between B1 and B2 and mark the choice with a 1 in the adjoining column:</v>
      </c>
      <c r="D85" s="203"/>
      <c r="E85" s="187"/>
      <c r="F85" s="187"/>
      <c r="G85" s="763"/>
      <c r="H85" s="1925"/>
      <c r="I85" s="1866"/>
    </row>
    <row r="86" spans="1:54" ht="15" customHeight="1" x14ac:dyDescent="0.2">
      <c r="A86" s="1670"/>
      <c r="B86" s="1670"/>
      <c r="C86" s="14" t="str">
        <f>F!C42</f>
        <v>B1. The less prevalent height class is mostly scattered and intermixed within the prevalent one.</v>
      </c>
      <c r="D86" s="146">
        <f>F!D42</f>
        <v>0</v>
      </c>
      <c r="E86" s="187">
        <v>1</v>
      </c>
      <c r="F86" s="187">
        <f t="shared" si="4"/>
        <v>0</v>
      </c>
      <c r="G86" s="763"/>
      <c r="H86" s="1925"/>
      <c r="I86" s="1866"/>
    </row>
    <row r="87" spans="1:54" ht="27" customHeight="1" thickBot="1" x14ac:dyDescent="0.25">
      <c r="A87" s="1671"/>
      <c r="B87" s="1671"/>
      <c r="C87" s="85" t="str">
        <f>F!C43</f>
        <v>B2. Not B1.  The less prevalent height class is mostly located apart from the prevalent one, in separate zones or clumps, or is completely absent.</v>
      </c>
      <c r="D87" s="147">
        <f>F!D43</f>
        <v>0</v>
      </c>
      <c r="E87" s="188">
        <v>0</v>
      </c>
      <c r="F87" s="188">
        <f t="shared" si="4"/>
        <v>0</v>
      </c>
      <c r="G87" s="764"/>
      <c r="H87" s="1936"/>
      <c r="I87" s="1867"/>
    </row>
    <row r="88" spans="1:54" ht="36" customHeight="1" thickBot="1" x14ac:dyDescent="0.25">
      <c r="A88" s="1714" t="str">
        <f>F!A48</f>
        <v>F8</v>
      </c>
      <c r="B88" s="1696" t="str">
        <f>F!B48</f>
        <v>Downed Wood</v>
      </c>
      <c r="C88" s="245" t="str">
        <f>F!C48</f>
        <v>The number of downed wood pieces longer than 2 m and with diameter &gt;10 cm, and not persistently submerged, is:</v>
      </c>
      <c r="D88" s="1084"/>
      <c r="E88" s="186"/>
      <c r="F88" s="208"/>
      <c r="G88" s="297" t="str">
        <f>IF((MAX(F!D18:D21)&lt;2),"", IF((D89=1),1, ""))</f>
        <v/>
      </c>
      <c r="H88" s="1937" t="s">
        <v>1575</v>
      </c>
      <c r="I88" s="1865" t="s">
        <v>171</v>
      </c>
    </row>
    <row r="89" spans="1:54" ht="24" customHeight="1" x14ac:dyDescent="0.2">
      <c r="A89" s="1714"/>
      <c r="B89" s="1696"/>
      <c r="C89" s="14" t="str">
        <f>F!C49</f>
        <v>Few or none that meet these criteria.</v>
      </c>
      <c r="D89" s="129">
        <f>F!D49</f>
        <v>0</v>
      </c>
      <c r="E89" s="187">
        <v>0</v>
      </c>
      <c r="F89" s="187">
        <f>D89*E89</f>
        <v>0</v>
      </c>
      <c r="G89" s="292"/>
      <c r="H89" s="1938"/>
      <c r="I89" s="1866"/>
    </row>
    <row r="90" spans="1:54" ht="24" customHeight="1" thickBot="1" x14ac:dyDescent="0.25">
      <c r="A90" s="1715"/>
      <c r="B90" s="1712"/>
      <c r="C90" s="85" t="str">
        <f>F!C50</f>
        <v>Several (&gt;5 if AA is &gt;5 hectares, less for smaller AAs) meet these criteria.</v>
      </c>
      <c r="D90" s="84">
        <f>F!D50</f>
        <v>0</v>
      </c>
      <c r="E90" s="188">
        <v>1</v>
      </c>
      <c r="F90" s="188">
        <f>D90*E90</f>
        <v>0</v>
      </c>
      <c r="G90" s="294"/>
      <c r="H90" s="1972"/>
      <c r="I90" s="1867"/>
    </row>
    <row r="91" spans="1:54" ht="30" customHeight="1" thickBot="1" x14ac:dyDescent="0.25">
      <c r="A91" s="1713" t="str">
        <f>F!A63</f>
        <v>F11</v>
      </c>
      <c r="B91" s="1693" t="str">
        <f>F!B63</f>
        <v>% Bare Ground &amp; Thatch</v>
      </c>
      <c r="C91" s="240" t="str">
        <f>F!C63</f>
        <v>Consider the parts of the AA that lack surface water at the driest time of the growing season. Viewed from directly above the ground layer, the predominant condition in those areas at that time is:</v>
      </c>
      <c r="D91" s="957"/>
      <c r="E91" s="191"/>
      <c r="F91" s="209"/>
      <c r="G91" s="291">
        <f>MAX(F92:F95)/MAX(E92:E95)</f>
        <v>0</v>
      </c>
      <c r="H91" s="1693" t="s">
        <v>1465</v>
      </c>
      <c r="I91" s="1865" t="s">
        <v>172</v>
      </c>
    </row>
    <row r="92" spans="1:54" ht="42" customHeight="1" x14ac:dyDescent="0.2">
      <c r="A92" s="1714"/>
      <c r="B92" s="1696"/>
      <c r="C92" s="14" t="str">
        <f>F!C64</f>
        <v>Little or no (&lt;5%) bare ground is visible between erect stems or under canopy anywhere in the vegetated AA. Ground is extensively blanketed by dense thatch, moss, lichens, graminoids with great stem densities, or plants with ground-hugging foliage. </v>
      </c>
      <c r="D92" s="129">
        <f>F!D64</f>
        <v>0</v>
      </c>
      <c r="E92" s="35">
        <v>2</v>
      </c>
      <c r="F92" s="187">
        <f>D92*E92</f>
        <v>0</v>
      </c>
      <c r="G92" s="292"/>
      <c r="H92" s="1696"/>
      <c r="I92" s="1866"/>
    </row>
    <row r="93" spans="1:54" ht="27" customHeight="1" x14ac:dyDescent="0.2">
      <c r="A93" s="1714"/>
      <c r="B93" s="1696"/>
      <c r="C93" s="4" t="str">
        <f>F!C65</f>
        <v>Slightly bare ground (5-20% bare between plants) is visible in places, but those areas comprise less than 5% of the unflooded parts of the AA.</v>
      </c>
      <c r="D93" s="33">
        <f>F!D65</f>
        <v>0</v>
      </c>
      <c r="E93" s="35">
        <v>3</v>
      </c>
      <c r="F93" s="187">
        <f>D93*E93</f>
        <v>0</v>
      </c>
      <c r="G93" s="293"/>
      <c r="H93" s="1696"/>
      <c r="I93" s="1866"/>
    </row>
    <row r="94" spans="1:54" ht="27" customHeight="1" x14ac:dyDescent="0.2">
      <c r="A94" s="1714"/>
      <c r="B94" s="1696"/>
      <c r="C94" s="4" t="str">
        <f>F!C66</f>
        <v>Much bare ground (20-50% bare between plants) is visible in places, and those areas comprise more than 5% of the unflooded parts of the AA. </v>
      </c>
      <c r="D94" s="33">
        <f>F!D66</f>
        <v>0</v>
      </c>
      <c r="E94" s="35">
        <v>1</v>
      </c>
      <c r="F94" s="187">
        <f>D94*E94</f>
        <v>0</v>
      </c>
      <c r="G94" s="293"/>
      <c r="H94" s="1696"/>
      <c r="I94" s="1866"/>
    </row>
    <row r="95" spans="1:54" ht="15" customHeight="1" thickBot="1" x14ac:dyDescent="0.25">
      <c r="A95" s="1715"/>
      <c r="B95" s="1712"/>
      <c r="C95" s="85" t="str">
        <f>F!C67</f>
        <v>Other conditions.</v>
      </c>
      <c r="D95" s="84">
        <f>F!D67</f>
        <v>0</v>
      </c>
      <c r="E95" s="112">
        <v>0</v>
      </c>
      <c r="F95" s="188">
        <f>D95*E95</f>
        <v>0</v>
      </c>
      <c r="G95" s="294"/>
      <c r="H95" s="1712"/>
      <c r="I95" s="1867"/>
    </row>
    <row r="96" spans="1:54" s="8" customFormat="1" ht="60" customHeight="1" thickBot="1" x14ac:dyDescent="0.25">
      <c r="A96" s="1940" t="str">
        <f>F!A69</f>
        <v>F12</v>
      </c>
      <c r="B96" s="1696" t="str">
        <f>F!B69</f>
        <v xml:space="preserve">Ground Irregularity </v>
      </c>
      <c r="C96" s="245" t="str">
        <f>F!C69</f>
        <v>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v>
      </c>
      <c r="D96" s="679"/>
      <c r="E96" s="186"/>
      <c r="F96" s="208"/>
      <c r="G96" s="297">
        <f>MAX(F97:F99)/MAX(E97:E99)</f>
        <v>0</v>
      </c>
      <c r="H96" s="1937" t="s">
        <v>449</v>
      </c>
      <c r="I96" s="1865" t="s">
        <v>173</v>
      </c>
      <c r="J96" s="5"/>
      <c r="K96" s="58"/>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9"/>
    </row>
    <row r="97" spans="1:54" s="8" customFormat="1" ht="27" customHeight="1" x14ac:dyDescent="0.2">
      <c r="A97" s="1940"/>
      <c r="B97" s="1696"/>
      <c r="C97" s="14" t="str">
        <f>F!C70</f>
        <v>Few or none (minimal microtopography; &lt;1% of the land has such features, or entire AA is always water-covered).</v>
      </c>
      <c r="D97" s="33">
        <f>F!D70</f>
        <v>0</v>
      </c>
      <c r="E97" s="35">
        <v>0</v>
      </c>
      <c r="F97" s="187">
        <f>D97*E97</f>
        <v>0</v>
      </c>
      <c r="G97" s="292"/>
      <c r="H97" s="1938"/>
      <c r="I97" s="1866"/>
      <c r="J97" s="5"/>
      <c r="K97" s="58"/>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9"/>
    </row>
    <row r="98" spans="1:54" s="8" customFormat="1" ht="15" customHeight="1" x14ac:dyDescent="0.2">
      <c r="A98" s="1940"/>
      <c r="B98" s="1696"/>
      <c r="C98" s="4" t="str">
        <f>F!C71</f>
        <v>Intermediate.</v>
      </c>
      <c r="D98" s="33">
        <f>F!D71</f>
        <v>0</v>
      </c>
      <c r="E98" s="187">
        <v>1</v>
      </c>
      <c r="F98" s="187">
        <f>D98*E98</f>
        <v>0</v>
      </c>
      <c r="G98" s="293"/>
      <c r="H98" s="1938"/>
      <c r="I98" s="1866"/>
      <c r="J98" s="5"/>
      <c r="K98" s="58"/>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9"/>
    </row>
    <row r="99" spans="1:54" s="8" customFormat="1" ht="15" customHeight="1" thickBot="1" x14ac:dyDescent="0.25">
      <c r="A99" s="1940"/>
      <c r="B99" s="1696"/>
      <c r="C99" s="241" t="str">
        <f>F!C72</f>
        <v>Several (extensive micro-topography).</v>
      </c>
      <c r="D99" s="128">
        <f>F!D72</f>
        <v>0</v>
      </c>
      <c r="E99" s="190">
        <v>2</v>
      </c>
      <c r="F99" s="190">
        <f>D99*E99</f>
        <v>0</v>
      </c>
      <c r="G99" s="302"/>
      <c r="H99" s="1939"/>
      <c r="I99" s="1867"/>
      <c r="J99" s="5"/>
      <c r="K99" s="58"/>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9"/>
    </row>
    <row r="100" spans="1:54" ht="21" customHeight="1" thickBot="1" x14ac:dyDescent="0.25">
      <c r="A100" s="1721" t="str">
        <f>F!A73</f>
        <v>F13</v>
      </c>
      <c r="B100" s="1669" t="str">
        <f>F!B73</f>
        <v>Upland Inclusions</v>
      </c>
      <c r="C100" s="240" t="str">
        <f>F!C73</f>
        <v>Within the AA, inclusions of upland are:</v>
      </c>
      <c r="D100" s="957"/>
      <c r="E100" s="191"/>
      <c r="F100" s="192"/>
      <c r="G100" s="291">
        <f>IF((D101=1),"", MAX(F101:F103)/MAX(E101:E103))</f>
        <v>0</v>
      </c>
      <c r="H100" s="1693" t="s">
        <v>450</v>
      </c>
      <c r="I100" s="1865" t="s">
        <v>174</v>
      </c>
    </row>
    <row r="101" spans="1:54" ht="15" customHeight="1" x14ac:dyDescent="0.2">
      <c r="A101" s="1703"/>
      <c r="B101" s="1670"/>
      <c r="C101" s="14" t="str">
        <f>F!C74</f>
        <v>Few or none.</v>
      </c>
      <c r="D101" s="129">
        <f>F!D74</f>
        <v>0</v>
      </c>
      <c r="E101" s="187">
        <v>1</v>
      </c>
      <c r="F101" s="187">
        <f>D101*E101</f>
        <v>0</v>
      </c>
      <c r="G101" s="292"/>
      <c r="H101" s="1696"/>
      <c r="I101" s="1866"/>
    </row>
    <row r="102" spans="1:54" ht="15" customHeight="1" x14ac:dyDescent="0.2">
      <c r="A102" s="1703"/>
      <c r="B102" s="1670"/>
      <c r="C102" s="4" t="str">
        <f>F!C75</f>
        <v>Intermediate (1 - 10% of vegetated part of the AA).</v>
      </c>
      <c r="D102" s="33">
        <f>F!D75</f>
        <v>0</v>
      </c>
      <c r="E102" s="187">
        <v>2</v>
      </c>
      <c r="F102" s="187">
        <f>D102*E102</f>
        <v>0</v>
      </c>
      <c r="G102" s="292"/>
      <c r="H102" s="1696"/>
      <c r="I102" s="1866"/>
    </row>
    <row r="103" spans="1:54" ht="15" customHeight="1" thickBot="1" x14ac:dyDescent="0.25">
      <c r="A103" s="1703"/>
      <c r="B103" s="1670"/>
      <c r="C103" s="241" t="str">
        <f>F!C76</f>
        <v>Many (e.g., wetland-upland "mosaic", &gt;10% of the vegetated AA).</v>
      </c>
      <c r="D103" s="128">
        <f>F!D76</f>
        <v>0</v>
      </c>
      <c r="E103" s="190">
        <v>3</v>
      </c>
      <c r="F103" s="190">
        <f>D103*E103</f>
        <v>0</v>
      </c>
      <c r="G103" s="302"/>
      <c r="H103" s="1696"/>
      <c r="I103" s="1867"/>
    </row>
    <row r="104" spans="1:54" ht="30" customHeight="1" thickBot="1" x14ac:dyDescent="0.25">
      <c r="A104" s="1666" t="str">
        <f>F!A88</f>
        <v>F16</v>
      </c>
      <c r="B104" s="1666" t="str">
        <f>F!B88</f>
        <v>Herbaceous % of Vegetated Wetland</v>
      </c>
      <c r="C104" s="70" t="str">
        <f>F!C88</f>
        <v>In aerial ("ducks eye") view, the maximum annual cover of herbaceous vegetation (all non-woody plants except moss) is:</v>
      </c>
      <c r="D104" s="679"/>
      <c r="E104" s="290"/>
      <c r="F104" s="192"/>
      <c r="G104" s="291">
        <f>MAX(F105:F109)/MAX(E105:E109)</f>
        <v>0</v>
      </c>
      <c r="H104" s="1669" t="s">
        <v>1635</v>
      </c>
      <c r="I104" s="1865" t="s">
        <v>313</v>
      </c>
    </row>
    <row r="105" spans="1:54" ht="27" customHeight="1" x14ac:dyDescent="0.2">
      <c r="A105" s="1667"/>
      <c r="B105" s="1667"/>
      <c r="C105" s="427" t="str">
        <f>F!C89</f>
        <v>&lt;5% of the vegetated part of the AA or &lt;0.01 hectare (whichever is less). Mark "1" here and SKIP to F20 (Invasive Plant Cover).</v>
      </c>
      <c r="D105" s="132">
        <f>F!D89</f>
        <v>0</v>
      </c>
      <c r="E105" s="672">
        <v>1</v>
      </c>
      <c r="F105" s="187">
        <f>D105*E105</f>
        <v>0</v>
      </c>
      <c r="G105" s="292"/>
      <c r="H105" s="1670"/>
      <c r="I105" s="1866"/>
    </row>
    <row r="106" spans="1:54" ht="15" customHeight="1" x14ac:dyDescent="0.2">
      <c r="A106" s="1667"/>
      <c r="B106" s="1667"/>
      <c r="C106" s="950" t="str">
        <f>F!C90</f>
        <v>5-25% of the vegetated part of the AA.</v>
      </c>
      <c r="D106" s="132">
        <f>F!D90</f>
        <v>0</v>
      </c>
      <c r="E106" s="672">
        <v>2</v>
      </c>
      <c r="F106" s="187">
        <f>D106*E106</f>
        <v>0</v>
      </c>
      <c r="G106" s="293"/>
      <c r="H106" s="1670"/>
      <c r="I106" s="1866"/>
    </row>
    <row r="107" spans="1:54" ht="15" customHeight="1" x14ac:dyDescent="0.2">
      <c r="A107" s="1667"/>
      <c r="B107" s="1667"/>
      <c r="C107" s="950" t="str">
        <f>F!C91</f>
        <v>25-50% of the vegetated part of the AA.</v>
      </c>
      <c r="D107" s="132">
        <f>F!D91</f>
        <v>0</v>
      </c>
      <c r="E107" s="672">
        <v>3</v>
      </c>
      <c r="F107" s="187">
        <f>D107*E107</f>
        <v>0</v>
      </c>
      <c r="G107" s="293"/>
      <c r="H107" s="1670"/>
      <c r="I107" s="1866"/>
    </row>
    <row r="108" spans="1:54" ht="15" customHeight="1" x14ac:dyDescent="0.2">
      <c r="A108" s="1667"/>
      <c r="B108" s="1667"/>
      <c r="C108" s="950" t="str">
        <f>F!C92</f>
        <v>50-95% of the vegetated part of the AA.</v>
      </c>
      <c r="D108" s="132">
        <f>F!D92</f>
        <v>0</v>
      </c>
      <c r="E108" s="672">
        <v>4</v>
      </c>
      <c r="F108" s="187">
        <f>D108*E108</f>
        <v>0</v>
      </c>
      <c r="G108" s="293"/>
      <c r="H108" s="1670"/>
      <c r="I108" s="1866"/>
    </row>
    <row r="109" spans="1:54" ht="15" customHeight="1" thickBot="1" x14ac:dyDescent="0.25">
      <c r="A109" s="1668"/>
      <c r="B109" s="1668"/>
      <c r="C109" s="678" t="str">
        <f>F!C93</f>
        <v>&gt;95% of the vegetated part of the AA.</v>
      </c>
      <c r="D109" s="148">
        <f>F!D93</f>
        <v>0</v>
      </c>
      <c r="E109" s="707">
        <v>3</v>
      </c>
      <c r="F109" s="188">
        <f>D109*E109</f>
        <v>0</v>
      </c>
      <c r="G109" s="294"/>
      <c r="H109" s="1671"/>
      <c r="I109" s="1867"/>
    </row>
    <row r="110" spans="1:54" s="2" customFormat="1" ht="30" customHeight="1" thickBot="1" x14ac:dyDescent="0.25">
      <c r="A110" s="1853" t="str">
        <f>F!A121</f>
        <v>F24</v>
      </c>
      <c r="B110" s="1670" t="str">
        <f>F!B121</f>
        <v>% of AA Without Surface Water</v>
      </c>
      <c r="C110" s="245" t="str">
        <f>F!C121</f>
        <v>The percentage of the AA that never contains surface water during an average year (that is, except perhaps for a few hours after snowmelt or rainstorms), but which is still a wetland, is:</v>
      </c>
      <c r="D110" s="957"/>
      <c r="E110" s="205"/>
      <c r="F110" s="206"/>
      <c r="G110" s="297">
        <f>MAX(F111:F116)/MAX(E111:E116)</f>
        <v>0</v>
      </c>
      <c r="H110" s="1670" t="s">
        <v>1636</v>
      </c>
      <c r="I110" s="1669" t="s">
        <v>657</v>
      </c>
      <c r="K110" s="56"/>
    </row>
    <row r="111" spans="1:54" s="2" customFormat="1" ht="15" customHeight="1" x14ac:dyDescent="0.2">
      <c r="A111" s="1853"/>
      <c r="B111" s="1670"/>
      <c r="C111" s="380" t="str">
        <f>F!C122</f>
        <v xml:space="preserve">&lt;1% . In other words, all or nearly all of the AA is covered by water permanently or at least seasonally.  </v>
      </c>
      <c r="D111" s="144">
        <f>F!D122</f>
        <v>0</v>
      </c>
      <c r="E111" s="187">
        <v>5</v>
      </c>
      <c r="F111" s="187">
        <f t="shared" ref="F111:F116" si="5">D111*E111</f>
        <v>0</v>
      </c>
      <c r="G111" s="384"/>
      <c r="H111" s="1670"/>
      <c r="I111" s="1670"/>
      <c r="K111" s="56"/>
    </row>
    <row r="112" spans="1:54" s="2" customFormat="1" ht="15" customHeight="1" x14ac:dyDescent="0.2">
      <c r="A112" s="1853"/>
      <c r="B112" s="1670"/>
      <c r="C112" s="380" t="str">
        <f>F!C123</f>
        <v>1-25% of the AA,  or &lt;1% but &gt;0.01 ha never contains surface water.</v>
      </c>
      <c r="D112" s="144">
        <f>F!D123</f>
        <v>0</v>
      </c>
      <c r="E112" s="187">
        <v>6</v>
      </c>
      <c r="F112" s="187">
        <f t="shared" si="5"/>
        <v>0</v>
      </c>
      <c r="G112" s="384"/>
      <c r="H112" s="1670"/>
      <c r="I112" s="1670"/>
      <c r="K112" s="56"/>
    </row>
    <row r="113" spans="1:11" s="2" customFormat="1" ht="15" customHeight="1" x14ac:dyDescent="0.2">
      <c r="A113" s="1853"/>
      <c r="B113" s="1670"/>
      <c r="C113" s="380" t="str">
        <f>F!C124</f>
        <v>25-50% of the AA never contains surface water.</v>
      </c>
      <c r="D113" s="144">
        <f>F!D124</f>
        <v>0</v>
      </c>
      <c r="E113" s="187">
        <v>4</v>
      </c>
      <c r="F113" s="187">
        <f t="shared" si="5"/>
        <v>0</v>
      </c>
      <c r="G113" s="384"/>
      <c r="H113" s="1670"/>
      <c r="I113" s="1670"/>
      <c r="K113" s="56"/>
    </row>
    <row r="114" spans="1:11" s="2" customFormat="1" ht="15" customHeight="1" x14ac:dyDescent="0.2">
      <c r="A114" s="1853"/>
      <c r="B114" s="1670"/>
      <c r="C114" s="380" t="str">
        <f>F!C125</f>
        <v>50-75% of the AA never contains surface water.</v>
      </c>
      <c r="D114" s="144">
        <f>F!D125</f>
        <v>0</v>
      </c>
      <c r="E114" s="187">
        <v>3</v>
      </c>
      <c r="F114" s="187">
        <f t="shared" si="5"/>
        <v>0</v>
      </c>
      <c r="G114" s="384"/>
      <c r="H114" s="1670"/>
      <c r="I114" s="1670"/>
      <c r="K114" s="56"/>
    </row>
    <row r="115" spans="1:11" s="2" customFormat="1" ht="27" customHeight="1" x14ac:dyDescent="0.2">
      <c r="A115" s="1853"/>
      <c r="B115" s="1670"/>
      <c r="C115" s="380" t="str">
        <f>F!C126</f>
        <v>75-99% of the AA never contains surface water, OR &gt;99% and there is at least one persistently ponded water body larger than 1 ha in the AA.</v>
      </c>
      <c r="D115" s="144">
        <f>F!D126</f>
        <v>0</v>
      </c>
      <c r="E115" s="187">
        <v>2</v>
      </c>
      <c r="F115" s="187">
        <f t="shared" si="5"/>
        <v>0</v>
      </c>
      <c r="G115" s="384"/>
      <c r="H115" s="1670"/>
      <c r="I115" s="1670"/>
      <c r="K115" s="56"/>
    </row>
    <row r="116" spans="1:11" s="2" customFormat="1" ht="27" customHeight="1" thickBot="1" x14ac:dyDescent="0.25">
      <c r="A116" s="1853"/>
      <c r="B116" s="1670"/>
      <c r="C116" s="380" t="str">
        <f>F!C127</f>
        <v>99-100%. AND there is no persistently ponded water body larger than 1 ha within the AA. Enter "1" and SKIP to F42 (Channel Connection).</v>
      </c>
      <c r="D116" s="144">
        <f>F!D127</f>
        <v>0</v>
      </c>
      <c r="E116" s="190">
        <v>1</v>
      </c>
      <c r="F116" s="190">
        <f t="shared" si="5"/>
        <v>0</v>
      </c>
      <c r="G116" s="391"/>
      <c r="H116" s="1670"/>
      <c r="I116" s="1671"/>
      <c r="K116" s="56"/>
    </row>
    <row r="117" spans="1:11" ht="45" customHeight="1" thickBot="1" x14ac:dyDescent="0.25">
      <c r="A117" s="1721" t="str">
        <f>F!A128</f>
        <v>F25</v>
      </c>
      <c r="B117" s="1669" t="str">
        <f>F!B128</f>
        <v>% of AA with Persistent Surface Water</v>
      </c>
      <c r="C117" s="240" t="str">
        <f>F!C128</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117" s="679"/>
      <c r="E117" s="191"/>
      <c r="F117" s="192"/>
      <c r="G117" s="291">
        <f>IF((AllSat1=1),"", MAX(F119:F122)/MAX(E119:E122))</f>
        <v>0</v>
      </c>
      <c r="H117" s="1693" t="s">
        <v>1638</v>
      </c>
      <c r="I117" s="1865" t="s">
        <v>164</v>
      </c>
    </row>
    <row r="118" spans="1:11" ht="27" customHeight="1" x14ac:dyDescent="0.2">
      <c r="A118" s="1703"/>
      <c r="B118" s="1670"/>
      <c r="C118" s="241" t="str">
        <f>F!C129</f>
        <v>None. The AA dries up completely (no water in channels either) or never has surface water during most years.  SKIP to F27.</v>
      </c>
      <c r="D118" s="33">
        <f>F!D129</f>
        <v>0</v>
      </c>
      <c r="E118" s="186">
        <v>1</v>
      </c>
      <c r="F118" s="187">
        <f>D118*E118</f>
        <v>0</v>
      </c>
      <c r="G118" s="293"/>
      <c r="H118" s="1696"/>
      <c r="I118" s="1866"/>
    </row>
    <row r="119" spans="1:11" ht="15" customHeight="1" x14ac:dyDescent="0.2">
      <c r="A119" s="1703"/>
      <c r="B119" s="1670"/>
      <c r="C119" s="241" t="str">
        <f>F!C130</f>
        <v>1-20% of the AA.</v>
      </c>
      <c r="D119" s="128">
        <f>F!D130</f>
        <v>0</v>
      </c>
      <c r="E119" s="187">
        <v>2</v>
      </c>
      <c r="F119" s="187">
        <f>D119*E119</f>
        <v>0</v>
      </c>
      <c r="G119" s="293"/>
      <c r="H119" s="1696"/>
      <c r="I119" s="1866"/>
    </row>
    <row r="120" spans="1:11" ht="15" customHeight="1" x14ac:dyDescent="0.2">
      <c r="A120" s="1703"/>
      <c r="B120" s="1670"/>
      <c r="C120" s="241" t="str">
        <f>F!C131</f>
        <v>20-50% of the AA.</v>
      </c>
      <c r="D120" s="128">
        <f>F!D131</f>
        <v>0</v>
      </c>
      <c r="E120" s="187">
        <v>3</v>
      </c>
      <c r="F120" s="187">
        <f>D120*E120</f>
        <v>0</v>
      </c>
      <c r="G120" s="293"/>
      <c r="H120" s="1696"/>
      <c r="I120" s="1866"/>
    </row>
    <row r="121" spans="1:11" ht="15" customHeight="1" x14ac:dyDescent="0.2">
      <c r="A121" s="1703"/>
      <c r="B121" s="1670"/>
      <c r="C121" s="241" t="str">
        <f>F!C132</f>
        <v>50-95% of the AA.</v>
      </c>
      <c r="D121" s="128">
        <f>F!D132</f>
        <v>0</v>
      </c>
      <c r="E121" s="187">
        <v>3</v>
      </c>
      <c r="F121" s="187">
        <f>D121*E121</f>
        <v>0</v>
      </c>
      <c r="G121" s="293"/>
      <c r="H121" s="1696"/>
      <c r="I121" s="1866"/>
    </row>
    <row r="122" spans="1:11" ht="15" customHeight="1" thickBot="1" x14ac:dyDescent="0.25">
      <c r="A122" s="1722"/>
      <c r="B122" s="1671"/>
      <c r="C122" s="85" t="str">
        <f>F!C133</f>
        <v>&gt;95% of the AA. True for many fringe wetlands.</v>
      </c>
      <c r="D122" s="84">
        <f>F!D133</f>
        <v>0</v>
      </c>
      <c r="E122" s="188">
        <v>3</v>
      </c>
      <c r="F122" s="188">
        <f>D122*E122</f>
        <v>0</v>
      </c>
      <c r="G122" s="294"/>
      <c r="H122" s="1712"/>
      <c r="I122" s="1867"/>
    </row>
    <row r="123" spans="1:11" ht="30" customHeight="1" thickBot="1" x14ac:dyDescent="0.25">
      <c r="A123" s="1940" t="str">
        <f>F!A146</f>
        <v>F28</v>
      </c>
      <c r="B123" s="1696" t="str">
        <f>F!B146</f>
        <v>Annual Water Fluctuation Range</v>
      </c>
      <c r="C123" s="3" t="str">
        <f>F!C146</f>
        <v>The annual fluctuation in surface water level within most of the parts of the AA that contain surface water at least temporarily is:</v>
      </c>
      <c r="D123" s="957"/>
      <c r="E123" s="191"/>
      <c r="F123" s="209"/>
      <c r="G123" s="288">
        <f>IF((AllSat1&gt;0),"",IF((NoSeasonal=1),"",MAX(F124:F128)/MAX(E124:E128)))</f>
        <v>0</v>
      </c>
      <c r="H123" s="1696" t="s">
        <v>1639</v>
      </c>
      <c r="I123" s="1865" t="s">
        <v>163</v>
      </c>
    </row>
    <row r="124" spans="1:11" ht="15" customHeight="1" x14ac:dyDescent="0.2">
      <c r="A124" s="1940"/>
      <c r="B124" s="1696"/>
      <c r="C124" s="676" t="str">
        <f>F!C147</f>
        <v>&lt;10 cm change (stable or nearly so).</v>
      </c>
      <c r="D124" s="129">
        <f>F!D147</f>
        <v>0</v>
      </c>
      <c r="E124" s="187">
        <v>5</v>
      </c>
      <c r="F124" s="187">
        <f>D124*E124</f>
        <v>0</v>
      </c>
      <c r="G124" s="762"/>
      <c r="H124" s="1696"/>
      <c r="I124" s="1866"/>
    </row>
    <row r="125" spans="1:11" ht="15" customHeight="1" x14ac:dyDescent="0.2">
      <c r="A125" s="1940"/>
      <c r="B125" s="1696"/>
      <c r="C125" s="628" t="str">
        <f>F!C148</f>
        <v>10 cm - 50 cm change.</v>
      </c>
      <c r="D125" s="33">
        <f>F!D148</f>
        <v>0</v>
      </c>
      <c r="E125" s="187">
        <v>4</v>
      </c>
      <c r="F125" s="187">
        <f>D125*E125</f>
        <v>0</v>
      </c>
      <c r="G125" s="763"/>
      <c r="H125" s="1696"/>
      <c r="I125" s="1866"/>
    </row>
    <row r="126" spans="1:11" ht="15" customHeight="1" x14ac:dyDescent="0.2">
      <c r="A126" s="1940"/>
      <c r="B126" s="1696"/>
      <c r="C126" s="628" t="str">
        <f>F!C149</f>
        <v>0.5 - 1 m change.</v>
      </c>
      <c r="D126" s="33">
        <f>F!D149</f>
        <v>0</v>
      </c>
      <c r="E126" s="187">
        <v>3</v>
      </c>
      <c r="F126" s="187">
        <f>D126*E126</f>
        <v>0</v>
      </c>
      <c r="G126" s="763"/>
      <c r="H126" s="1696"/>
      <c r="I126" s="1866"/>
    </row>
    <row r="127" spans="1:11" ht="15" customHeight="1" x14ac:dyDescent="0.2">
      <c r="A127" s="1940"/>
      <c r="B127" s="1696"/>
      <c r="C127" s="628" t="str">
        <f>F!C150</f>
        <v>1-2 m change.</v>
      </c>
      <c r="D127" s="33">
        <f>F!D150</f>
        <v>0</v>
      </c>
      <c r="E127" s="190">
        <v>1</v>
      </c>
      <c r="F127" s="190">
        <f>D127*E127</f>
        <v>0</v>
      </c>
      <c r="G127" s="774"/>
      <c r="H127" s="1696"/>
      <c r="I127" s="1866"/>
    </row>
    <row r="128" spans="1:11" ht="15" customHeight="1" thickBot="1" x14ac:dyDescent="0.25">
      <c r="A128" s="1940"/>
      <c r="B128" s="1696"/>
      <c r="C128" s="628" t="str">
        <f>F!C151</f>
        <v>&gt;2 m change.</v>
      </c>
      <c r="D128" s="33">
        <f>F!D151</f>
        <v>0</v>
      </c>
      <c r="E128" s="188">
        <v>0</v>
      </c>
      <c r="F128" s="188">
        <f>D128*E128</f>
        <v>0</v>
      </c>
      <c r="G128" s="764"/>
      <c r="H128" s="1696"/>
      <c r="I128" s="1867"/>
    </row>
    <row r="129" spans="1:11" s="2" customFormat="1" ht="45" customHeight="1" thickBot="1" x14ac:dyDescent="0.25">
      <c r="A129" s="2009" t="str">
        <f>F!A163</f>
        <v>F31</v>
      </c>
      <c r="B129" s="2010" t="str">
        <f>F!B163</f>
        <v>% of Water That Is Ponded (not Flowing)</v>
      </c>
      <c r="C129" s="240" t="str">
        <f>F!C163</f>
        <v>During most times when surface water is present, the percentage that is (1) ponded (stagnant, or flows so slowly that fine sediment is not held in suspension) AND (2) is likely to be deeper than 0.5 m in some places, is:</v>
      </c>
      <c r="D129" s="191"/>
      <c r="E129" s="191"/>
      <c r="F129" s="192"/>
      <c r="G129" s="327">
        <f>IF((AllSat1&gt;0),"", MAX(F130:F134)/MAX(E130:E134))</f>
        <v>0</v>
      </c>
      <c r="H129" s="1693" t="s">
        <v>1637</v>
      </c>
      <c r="I129" s="1669" t="s">
        <v>167</v>
      </c>
      <c r="K129" s="56"/>
    </row>
    <row r="130" spans="1:11" s="2" customFormat="1" ht="15" customHeight="1" x14ac:dyDescent="0.2">
      <c r="A130" s="1714"/>
      <c r="B130" s="1696"/>
      <c r="C130" s="14" t="str">
        <f>F!C164</f>
        <v>&lt;5% of the water, or it occupies &lt;100 sq.m cumulatively. Nearly all the surface water is flowing. SKIP to F34.</v>
      </c>
      <c r="D130" s="145">
        <f>F!D164</f>
        <v>0</v>
      </c>
      <c r="E130" s="187">
        <v>0</v>
      </c>
      <c r="F130" s="187">
        <f>D130*E130</f>
        <v>0</v>
      </c>
      <c r="G130" s="384"/>
      <c r="H130" s="1696"/>
      <c r="I130" s="1670"/>
      <c r="K130" s="56"/>
    </row>
    <row r="131" spans="1:11" s="2" customFormat="1" ht="15" customHeight="1" x14ac:dyDescent="0.2">
      <c r="A131" s="1714"/>
      <c r="B131" s="1696"/>
      <c r="C131" s="4" t="str">
        <f>F!C165</f>
        <v>5-30% of the water.</v>
      </c>
      <c r="D131" s="146">
        <f>F!D165</f>
        <v>0</v>
      </c>
      <c r="E131" s="187">
        <v>3</v>
      </c>
      <c r="F131" s="187">
        <f>D131*E131</f>
        <v>0</v>
      </c>
      <c r="G131" s="384"/>
      <c r="H131" s="1696"/>
      <c r="I131" s="1670"/>
      <c r="K131" s="56"/>
    </row>
    <row r="132" spans="1:11" s="2" customFormat="1" ht="15" customHeight="1" x14ac:dyDescent="0.2">
      <c r="A132" s="1714"/>
      <c r="B132" s="1696"/>
      <c r="C132" s="4" t="str">
        <f>F!C166</f>
        <v>30-70% of the water.</v>
      </c>
      <c r="D132" s="146">
        <f>F!D166</f>
        <v>0</v>
      </c>
      <c r="E132" s="187">
        <v>4</v>
      </c>
      <c r="F132" s="187">
        <f>D132*E132</f>
        <v>0</v>
      </c>
      <c r="G132" s="391"/>
      <c r="H132" s="1696"/>
      <c r="I132" s="1670"/>
      <c r="K132" s="56"/>
    </row>
    <row r="133" spans="1:11" s="2" customFormat="1" ht="15" customHeight="1" x14ac:dyDescent="0.2">
      <c r="A133" s="1714"/>
      <c r="B133" s="1696"/>
      <c r="C133" s="4" t="str">
        <f>F!C167</f>
        <v>70-95% of the water.</v>
      </c>
      <c r="D133" s="146">
        <f>F!D167</f>
        <v>0</v>
      </c>
      <c r="E133" s="187">
        <v>5</v>
      </c>
      <c r="F133" s="187">
        <f>D133*E133</f>
        <v>0</v>
      </c>
      <c r="G133" s="391"/>
      <c r="H133" s="1696"/>
      <c r="I133" s="1670"/>
      <c r="K133" s="56"/>
    </row>
    <row r="134" spans="1:11" s="2" customFormat="1" ht="15" customHeight="1" thickBot="1" x14ac:dyDescent="0.25">
      <c r="A134" s="1715"/>
      <c r="B134" s="1712"/>
      <c r="C134" s="85" t="str">
        <f>F!C168</f>
        <v>&gt;95% of the water.</v>
      </c>
      <c r="D134" s="147">
        <f>F!D168</f>
        <v>0</v>
      </c>
      <c r="E134" s="188">
        <v>5</v>
      </c>
      <c r="F134" s="188">
        <f>D134*E134</f>
        <v>0</v>
      </c>
      <c r="G134" s="385"/>
      <c r="H134" s="1712"/>
      <c r="I134" s="1671"/>
      <c r="K134" s="56"/>
    </row>
    <row r="135" spans="1:11" ht="30" customHeight="1" thickBot="1" x14ac:dyDescent="0.25">
      <c r="A135" s="1954" t="str">
        <f>F!A170</f>
        <v>F33</v>
      </c>
      <c r="B135" s="1669" t="str">
        <f>F!B170</f>
        <v xml:space="preserve">% of Ponded Water that is Open </v>
      </c>
      <c r="C135" s="245" t="str">
        <f>F!C170</f>
        <v>In ducks-eye aerial view, the percentage of the ponded water that is open (lacking emergent vegetation during most of the growing season, and unhidden by a forest or shrub canopy) is:</v>
      </c>
      <c r="D135" s="219"/>
      <c r="E135" s="186"/>
      <c r="F135" s="208"/>
      <c r="G135" s="297">
        <f>IF((AllSat1&gt;0),"",IF((NoPonded=1),"",MAX(F136:F141)/MAX(E136:E141)))</f>
        <v>0</v>
      </c>
      <c r="H135" s="1693" t="s">
        <v>1640</v>
      </c>
      <c r="I135" s="1865" t="s">
        <v>166</v>
      </c>
    </row>
    <row r="136" spans="1:11" ht="27" customHeight="1" x14ac:dyDescent="0.2">
      <c r="A136" s="1893"/>
      <c r="B136" s="1670"/>
      <c r="C136" s="241" t="str">
        <f>F!C171</f>
        <v>None, or &lt;1% of the AA and largest pool occupies &lt;0.01 hectares. Enter "1" and SKIP to F41 (Floating Algae &amp; Duckweed).</v>
      </c>
      <c r="D136" s="33">
        <f>F!D171</f>
        <v>0</v>
      </c>
      <c r="E136" s="35">
        <v>1</v>
      </c>
      <c r="F136" s="187">
        <f t="shared" ref="F136:F141" si="6">D136*E136</f>
        <v>0</v>
      </c>
      <c r="G136" s="292"/>
      <c r="H136" s="1696"/>
      <c r="I136" s="1866"/>
    </row>
    <row r="137" spans="1:11" ht="15" customHeight="1" x14ac:dyDescent="0.2">
      <c r="A137" s="1893"/>
      <c r="B137" s="1670"/>
      <c r="C137" s="4" t="str">
        <f>F!C172</f>
        <v>1-4% of the ponded water. Enter "1" and SKIP to F41 (Floating Algae &amp; Duckweed).</v>
      </c>
      <c r="D137" s="33">
        <f>F!D172</f>
        <v>0</v>
      </c>
      <c r="E137" s="35">
        <v>2</v>
      </c>
      <c r="F137" s="187">
        <f t="shared" si="6"/>
        <v>0</v>
      </c>
      <c r="G137" s="293"/>
      <c r="H137" s="1696"/>
      <c r="I137" s="1866"/>
    </row>
    <row r="138" spans="1:11" ht="15" customHeight="1" x14ac:dyDescent="0.2">
      <c r="A138" s="1893"/>
      <c r="B138" s="1670"/>
      <c r="C138" s="4" t="str">
        <f>F!C173</f>
        <v>5-30% of the ponded water.</v>
      </c>
      <c r="D138" s="33">
        <f>F!D173</f>
        <v>0</v>
      </c>
      <c r="E138" s="35">
        <v>3</v>
      </c>
      <c r="F138" s="187">
        <f t="shared" si="6"/>
        <v>0</v>
      </c>
      <c r="G138" s="293"/>
      <c r="H138" s="1696"/>
      <c r="I138" s="1866"/>
    </row>
    <row r="139" spans="1:11" ht="15" customHeight="1" x14ac:dyDescent="0.2">
      <c r="A139" s="1893"/>
      <c r="B139" s="1670"/>
      <c r="C139" s="4" t="str">
        <f>F!C174</f>
        <v>30-70% of the ponded water.</v>
      </c>
      <c r="D139" s="33">
        <f>F!D174</f>
        <v>0</v>
      </c>
      <c r="E139" s="35">
        <v>3</v>
      </c>
      <c r="F139" s="187">
        <f t="shared" si="6"/>
        <v>0</v>
      </c>
      <c r="G139" s="293"/>
      <c r="H139" s="1696"/>
      <c r="I139" s="1866"/>
    </row>
    <row r="140" spans="1:11" ht="15" customHeight="1" x14ac:dyDescent="0.2">
      <c r="A140" s="1893"/>
      <c r="B140" s="1670"/>
      <c r="C140" s="4" t="str">
        <f>F!C175</f>
        <v>70-99% of the ponded water.</v>
      </c>
      <c r="D140" s="33">
        <f>F!D175</f>
        <v>0</v>
      </c>
      <c r="E140" s="35">
        <v>1</v>
      </c>
      <c r="F140" s="187">
        <f t="shared" si="6"/>
        <v>0</v>
      </c>
      <c r="G140" s="302"/>
      <c r="H140" s="1696"/>
      <c r="I140" s="1866"/>
    </row>
    <row r="141" spans="1:11" ht="15" customHeight="1" thickBot="1" x14ac:dyDescent="0.25">
      <c r="A141" s="1894"/>
      <c r="B141" s="1671"/>
      <c r="C141" s="381" t="str">
        <f>F!C176</f>
        <v xml:space="preserve">100% of the ponded water. </v>
      </c>
      <c r="D141" s="151">
        <f>F!D176</f>
        <v>0</v>
      </c>
      <c r="E141" s="34">
        <v>0</v>
      </c>
      <c r="F141" s="190">
        <f t="shared" si="6"/>
        <v>0</v>
      </c>
      <c r="G141" s="302"/>
      <c r="H141" s="1712"/>
      <c r="I141" s="1867"/>
    </row>
    <row r="142" spans="1:11" ht="30" customHeight="1" thickBot="1" x14ac:dyDescent="0.25">
      <c r="A142" s="2009" t="str">
        <f>F!A177</f>
        <v>F34</v>
      </c>
      <c r="B142" s="1666" t="str">
        <f>F!B177</f>
        <v>Width of Vegetated Zone within Wetland</v>
      </c>
      <c r="C142" s="323" t="str">
        <f>F!C177</f>
        <v>At the time during the growing season when the AA's water level is lowest, the average width of vegetated area in the AA that separates adjoining uplands from open water within the AA is:</v>
      </c>
      <c r="D142" s="679"/>
      <c r="E142" s="422"/>
      <c r="F142" s="455"/>
      <c r="G142" s="291">
        <f>IF((AllSat1&gt;0),"",IF((NoOpenPonded=1),"",MAX(F143:F148)/MAX(E143:E148)))</f>
        <v>0</v>
      </c>
      <c r="H142" s="1669" t="s">
        <v>1204</v>
      </c>
      <c r="I142" s="1865" t="s">
        <v>169</v>
      </c>
    </row>
    <row r="143" spans="1:11" ht="15" customHeight="1" x14ac:dyDescent="0.2">
      <c r="A143" s="2011"/>
      <c r="B143" s="1667"/>
      <c r="C143" s="403" t="str">
        <f>F!C178</f>
        <v>&lt;1 m.</v>
      </c>
      <c r="D143" s="132">
        <f>F!D178</f>
        <v>0</v>
      </c>
      <c r="E143" s="217">
        <v>0</v>
      </c>
      <c r="F143" s="187">
        <f t="shared" ref="F143:F148" si="7">D143*E143</f>
        <v>0</v>
      </c>
      <c r="G143" s="292"/>
      <c r="H143" s="1694"/>
      <c r="I143" s="1866"/>
    </row>
    <row r="144" spans="1:11" ht="15" customHeight="1" x14ac:dyDescent="0.2">
      <c r="A144" s="2011"/>
      <c r="B144" s="1667"/>
      <c r="C144" s="326" t="str">
        <f>F!C179</f>
        <v>1 - 9 m.</v>
      </c>
      <c r="D144" s="133">
        <f>F!D179</f>
        <v>0</v>
      </c>
      <c r="E144" s="217">
        <v>1</v>
      </c>
      <c r="F144" s="187">
        <f t="shared" si="7"/>
        <v>0</v>
      </c>
      <c r="G144" s="293"/>
      <c r="H144" s="1694"/>
      <c r="I144" s="1866"/>
    </row>
    <row r="145" spans="1:9" ht="15" customHeight="1" x14ac:dyDescent="0.2">
      <c r="A145" s="2011"/>
      <c r="B145" s="1667"/>
      <c r="C145" s="326" t="str">
        <f>F!C180</f>
        <v>10 - 29 m.</v>
      </c>
      <c r="D145" s="133">
        <f>F!D180</f>
        <v>0</v>
      </c>
      <c r="E145" s="217">
        <v>2</v>
      </c>
      <c r="F145" s="187">
        <f t="shared" si="7"/>
        <v>0</v>
      </c>
      <c r="G145" s="293"/>
      <c r="H145" s="1694"/>
      <c r="I145" s="1866"/>
    </row>
    <row r="146" spans="1:9" ht="15" customHeight="1" x14ac:dyDescent="0.2">
      <c r="A146" s="2011"/>
      <c r="B146" s="1667"/>
      <c r="C146" s="326" t="str">
        <f>F!C181</f>
        <v>30 - 49 m.</v>
      </c>
      <c r="D146" s="133">
        <f>F!D181</f>
        <v>0</v>
      </c>
      <c r="E146" s="217">
        <v>3</v>
      </c>
      <c r="F146" s="187">
        <f t="shared" si="7"/>
        <v>0</v>
      </c>
      <c r="G146" s="293"/>
      <c r="H146" s="1694"/>
      <c r="I146" s="1866"/>
    </row>
    <row r="147" spans="1:9" ht="15" customHeight="1" x14ac:dyDescent="0.2">
      <c r="A147" s="2011"/>
      <c r="B147" s="1667"/>
      <c r="C147" s="326" t="str">
        <f>F!C182</f>
        <v>50 - 100 m.</v>
      </c>
      <c r="D147" s="133">
        <f>F!D182</f>
        <v>0</v>
      </c>
      <c r="E147" s="217">
        <v>4</v>
      </c>
      <c r="F147" s="187">
        <f t="shared" si="7"/>
        <v>0</v>
      </c>
      <c r="G147" s="302"/>
      <c r="H147" s="1694"/>
      <c r="I147" s="1866"/>
    </row>
    <row r="148" spans="1:9" ht="15" customHeight="1" thickBot="1" x14ac:dyDescent="0.25">
      <c r="A148" s="2012"/>
      <c r="B148" s="1668"/>
      <c r="C148" s="631" t="str">
        <f>F!C183</f>
        <v>&gt; 100 m, or open water is absent at that time.</v>
      </c>
      <c r="D148" s="133">
        <f>F!D183</f>
        <v>0</v>
      </c>
      <c r="E148" s="454">
        <v>6</v>
      </c>
      <c r="F148" s="188">
        <f t="shared" si="7"/>
        <v>0</v>
      </c>
      <c r="G148" s="294"/>
      <c r="H148" s="1695"/>
      <c r="I148" s="1867"/>
    </row>
    <row r="149" spans="1:9" ht="30" customHeight="1" thickBot="1" x14ac:dyDescent="0.25">
      <c r="A149" s="1862" t="str">
        <f>F!A195</f>
        <v>F37</v>
      </c>
      <c r="B149" s="1666" t="str">
        <f>F!B195</f>
        <v>Interspersion of Emergents &amp; Open Water</v>
      </c>
      <c r="C149" s="240" t="str">
        <f>F!C195</f>
        <v>During most of the part of the growing season when water is present, the spatial pattern of emergent vegetation within the water is mostly:</v>
      </c>
      <c r="D149" s="957"/>
      <c r="E149" s="422"/>
      <c r="F149" s="455"/>
      <c r="G149" s="291">
        <f>IF((AllSat1&gt;0),"",IF((NoPonded=1),"",IF((NoOpenPonded+NoOpenPonded1&gt;0),"",IF((AllOpenPond=1),"",IF((NoRobustEm=1),"",MAX(F150:F152)/MAX(E150:E152))))))</f>
        <v>0</v>
      </c>
      <c r="H149" s="1669" t="s">
        <v>2241</v>
      </c>
      <c r="I149" s="1865" t="s">
        <v>168</v>
      </c>
    </row>
    <row r="150" spans="1:9" ht="15" customHeight="1" x14ac:dyDescent="0.2">
      <c r="A150" s="1703"/>
      <c r="B150" s="1670"/>
      <c r="C150" s="14" t="str">
        <f>F!C196</f>
        <v>Scattered. More than 30% of such vegetation forms small islands or corridors surrounded by water.</v>
      </c>
      <c r="D150" s="129">
        <f>F!D196</f>
        <v>0</v>
      </c>
      <c r="E150" s="217">
        <v>3</v>
      </c>
      <c r="F150" s="190">
        <f>D150*E150</f>
        <v>0</v>
      </c>
      <c r="G150" s="292"/>
      <c r="H150" s="1670"/>
      <c r="I150" s="1866"/>
    </row>
    <row r="151" spans="1:9" ht="15" customHeight="1" x14ac:dyDescent="0.2">
      <c r="A151" s="1703"/>
      <c r="B151" s="1670"/>
      <c r="C151" s="4" t="str">
        <f>F!C197</f>
        <v>Intermediate.</v>
      </c>
      <c r="D151" s="33">
        <f>F!D197</f>
        <v>0</v>
      </c>
      <c r="E151" s="217">
        <v>2</v>
      </c>
      <c r="F151" s="190">
        <f>D151*E151</f>
        <v>0</v>
      </c>
      <c r="G151" s="292"/>
      <c r="H151" s="1670"/>
      <c r="I151" s="1866"/>
    </row>
    <row r="152" spans="1:9" ht="27" customHeight="1" thickBot="1" x14ac:dyDescent="0.25">
      <c r="A152" s="1722"/>
      <c r="B152" s="1671"/>
      <c r="C152" s="85" t="str">
        <f>F!C198</f>
        <v>Clumped. More than 70% of such vegetation is in bands along the wetland perimeter or is clumped at one or a few sides of the surface water area.</v>
      </c>
      <c r="D152" s="84">
        <f>F!D198</f>
        <v>0</v>
      </c>
      <c r="E152" s="454">
        <v>1</v>
      </c>
      <c r="F152" s="188">
        <f>D152*E152</f>
        <v>0</v>
      </c>
      <c r="G152" s="456"/>
      <c r="H152" s="1671"/>
      <c r="I152" s="1867"/>
    </row>
    <row r="153" spans="1:9" ht="45" customHeight="1" thickBot="1" x14ac:dyDescent="0.25">
      <c r="A153" s="1940" t="str">
        <f>F!A200</f>
        <v>F39</v>
      </c>
      <c r="B153" s="1696" t="str">
        <f>F!B200</f>
        <v>Non-vegetated Aquatic Cover</v>
      </c>
      <c r="C153" s="245" t="str">
        <f>F!C200</f>
        <v>During most of the growing season and in waters deeper than 0.5 m, the cover for fish, aquatic invertebrates, and/or amphibians that is provided NOT by living vegetation, but by accumulations of dead wood and undercut banks is:</v>
      </c>
      <c r="D153" s="679"/>
      <c r="E153" s="186"/>
      <c r="F153" s="208"/>
      <c r="G153" s="297" t="str">
        <f>IF((AllSat1&gt;0),"",IF((OpenW=0),"",IF((DeepPersis=0),"",MAX(F154:F156)/MAX(E154:E156))))</f>
        <v/>
      </c>
      <c r="H153" s="1696" t="s">
        <v>1205</v>
      </c>
      <c r="I153" s="1865" t="s">
        <v>165</v>
      </c>
    </row>
    <row r="154" spans="1:9" ht="15" customHeight="1" x14ac:dyDescent="0.2">
      <c r="A154" s="1940"/>
      <c r="B154" s="1696"/>
      <c r="C154" s="14" t="str">
        <f>F!C201</f>
        <v>Little or none.</v>
      </c>
      <c r="D154" s="33">
        <f>F!D201</f>
        <v>0</v>
      </c>
      <c r="E154" s="187">
        <v>0</v>
      </c>
      <c r="F154" s="187">
        <f>D154*E154</f>
        <v>0</v>
      </c>
      <c r="G154" s="292"/>
      <c r="H154" s="1696"/>
      <c r="I154" s="1866"/>
    </row>
    <row r="155" spans="1:9" ht="15" customHeight="1" x14ac:dyDescent="0.2">
      <c r="A155" s="1940"/>
      <c r="B155" s="1696"/>
      <c r="C155" s="4" t="str">
        <f>F!C202</f>
        <v>Intermediate.</v>
      </c>
      <c r="D155" s="33">
        <f>F!D202</f>
        <v>0</v>
      </c>
      <c r="E155" s="187">
        <v>1</v>
      </c>
      <c r="F155" s="187">
        <f>D155*E155</f>
        <v>0</v>
      </c>
      <c r="G155" s="420"/>
      <c r="H155" s="1696"/>
      <c r="I155" s="1866"/>
    </row>
    <row r="156" spans="1:9" ht="15" customHeight="1" thickBot="1" x14ac:dyDescent="0.25">
      <c r="A156" s="1940"/>
      <c r="B156" s="1696"/>
      <c r="C156" s="241" t="str">
        <f>F!C203</f>
        <v>Extensive.</v>
      </c>
      <c r="D156" s="128">
        <f>F!D203</f>
        <v>0</v>
      </c>
      <c r="E156" s="190">
        <v>2</v>
      </c>
      <c r="F156" s="190">
        <f>D156*E156</f>
        <v>0</v>
      </c>
      <c r="G156" s="302"/>
      <c r="H156" s="1696"/>
      <c r="I156" s="1867"/>
    </row>
    <row r="157" spans="1:9" ht="27" customHeight="1" thickBot="1" x14ac:dyDescent="0.25">
      <c r="A157" s="1669" t="str">
        <f>F!A224</f>
        <v>F47</v>
      </c>
      <c r="B157" s="1669" t="str">
        <f>F!B224</f>
        <v>pH Measurement</v>
      </c>
      <c r="C157" s="36" t="str">
        <f>F!C224</f>
        <v>The pH in most of the AA's surface water:</v>
      </c>
      <c r="D157" s="752"/>
      <c r="E157" s="191"/>
      <c r="F157" s="192"/>
      <c r="G157" s="761">
        <f>IF((D160=1),"",IF((D159=1),0.5, IF((D158&gt;0&lt;4),0, IF((D158&gt;=4&lt;=5),0.5,1))))</f>
        <v>1</v>
      </c>
      <c r="H157" s="1669" t="s">
        <v>2599</v>
      </c>
      <c r="I157" s="1865" t="s">
        <v>1672</v>
      </c>
    </row>
    <row r="158" spans="1:9" ht="21" customHeight="1" x14ac:dyDescent="0.2">
      <c r="A158" s="1670"/>
      <c r="B158" s="1670"/>
      <c r="C158" s="51" t="str">
        <f>F!C225</f>
        <v>Was measured, and is:  [enter the reading in the column to the right.]</v>
      </c>
      <c r="D158" s="1152" t="str">
        <f>IF((F!D225=""),"",F!D225)</f>
        <v/>
      </c>
      <c r="E158" s="203"/>
      <c r="F158" s="187"/>
      <c r="G158" s="423"/>
      <c r="H158" s="1925"/>
      <c r="I158" s="1866"/>
    </row>
    <row r="159" spans="1:9" ht="30" customHeight="1" x14ac:dyDescent="0.2">
      <c r="A159" s="1670"/>
      <c r="B159" s="1670"/>
      <c r="C159" s="413" t="str">
        <f>F!C226</f>
        <v xml:space="preserve">Was not measured but surface water is present and is darkly tea-coloured.  Or if no surface water, then mosses and plants that indicate peatland (e.g., Labrador tea) are prevalent. Enter "1". </v>
      </c>
      <c r="D159" s="33">
        <f>F!D226</f>
        <v>0</v>
      </c>
      <c r="E159" s="203"/>
      <c r="F159" s="187"/>
      <c r="G159" s="680"/>
      <c r="H159" s="1925"/>
      <c r="I159" s="1866"/>
    </row>
    <row r="160" spans="1:9" ht="21" customHeight="1" thickBot="1" x14ac:dyDescent="0.25">
      <c r="A160" s="1671"/>
      <c r="B160" s="1671"/>
      <c r="C160" s="903" t="str">
        <f>F!C227</f>
        <v>Neither of above. Enter "1".</v>
      </c>
      <c r="D160" s="84">
        <f>F!D227</f>
        <v>0</v>
      </c>
      <c r="E160" s="204"/>
      <c r="F160" s="188"/>
      <c r="G160" s="698"/>
      <c r="H160" s="1671"/>
      <c r="I160" s="1867"/>
    </row>
    <row r="161" spans="1:68" s="8" customFormat="1" ht="21" customHeight="1" thickBot="1" x14ac:dyDescent="0.25">
      <c r="A161" s="1721" t="str">
        <f>F!A237</f>
        <v>F50</v>
      </c>
      <c r="B161" s="1670" t="str">
        <f>F!B237</f>
        <v>Groundwater Strength of Evidence</v>
      </c>
      <c r="C161" s="245" t="str">
        <f>F!C237</f>
        <v>Select first applicable choice:</v>
      </c>
      <c r="D161" s="421"/>
      <c r="E161" s="217"/>
      <c r="F161" s="189"/>
      <c r="G161" s="297">
        <f>IF((D164=1),"",MAX(F161:F164)/MAX(E162:E164))</f>
        <v>0</v>
      </c>
      <c r="H161" s="1696" t="s">
        <v>2242</v>
      </c>
      <c r="I161" s="1865" t="s">
        <v>175</v>
      </c>
      <c r="J161" s="5"/>
      <c r="K161" s="58"/>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9"/>
    </row>
    <row r="162" spans="1:68" s="8" customFormat="1" ht="42" customHeight="1" x14ac:dyDescent="0.2">
      <c r="A162" s="1703"/>
      <c r="B162" s="1670"/>
      <c r="C162" s="222"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162" s="33">
        <f>F!D238</f>
        <v>0</v>
      </c>
      <c r="E162" s="211">
        <v>3</v>
      </c>
      <c r="F162" s="187">
        <f>D162*E162</f>
        <v>0</v>
      </c>
      <c r="G162" s="292"/>
      <c r="H162" s="1696"/>
      <c r="I162" s="1866"/>
      <c r="J162" s="5"/>
      <c r="K162" s="58"/>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9"/>
    </row>
    <row r="163" spans="1:68" s="8" customFormat="1" ht="27" customHeight="1" x14ac:dyDescent="0.2">
      <c r="A163" s="1703"/>
      <c r="B163" s="1670"/>
      <c r="C163" s="241" t="str">
        <f>F!C239</f>
        <v>Most of the AA has a slope of &gt;5%, or is very close to the base of a natural slope longer than 100 and much steeper than the slope of the AA,  AND the pH of surface water, if known, is &gt;5.5.</v>
      </c>
      <c r="D163" s="128">
        <f>F!D239</f>
        <v>0</v>
      </c>
      <c r="E163" s="211">
        <v>2</v>
      </c>
      <c r="F163" s="187">
        <f>D163*E163</f>
        <v>0</v>
      </c>
      <c r="G163" s="293"/>
      <c r="H163" s="1696"/>
      <c r="I163" s="1866"/>
      <c r="J163" s="5"/>
      <c r="K163" s="58"/>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9"/>
    </row>
    <row r="164" spans="1:68" s="8" customFormat="1" ht="27" customHeight="1" thickBot="1" x14ac:dyDescent="0.25">
      <c r="A164" s="1722"/>
      <c r="B164" s="1671"/>
      <c r="C164" s="85" t="str">
        <f>F!C240</f>
        <v>Neither of above is true, although some groundwater may discharge to or flow through the AA. Or groundwater influx is unknown.</v>
      </c>
      <c r="D164" s="84">
        <f>F!D240</f>
        <v>0</v>
      </c>
      <c r="E164" s="215">
        <v>0</v>
      </c>
      <c r="F164" s="188">
        <f>D164*E164</f>
        <v>0</v>
      </c>
      <c r="G164" s="294"/>
      <c r="H164" s="1712"/>
      <c r="I164" s="1867"/>
      <c r="J164" s="5"/>
      <c r="K164" s="58"/>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9"/>
    </row>
    <row r="165" spans="1:68" ht="45" customHeight="1" thickBot="1" x14ac:dyDescent="0.25">
      <c r="A165" s="1696" t="str">
        <f>F!A247</f>
        <v>F52</v>
      </c>
      <c r="B165" s="1693" t="str">
        <f>F!B247</f>
        <v>Vegetated Buffer as % of Perimeter</v>
      </c>
      <c r="C165" s="3" t="str">
        <f>F!C247</f>
        <v>Within a zone extending 30 m laterally from the AA's edge with upland and/or other wetlands, the percentage that contains perennial vegetation cover (except lawns, row crops, heavily grazed land, conifer plantations) is:</v>
      </c>
      <c r="D165" s="421"/>
      <c r="E165" s="186"/>
      <c r="F165" s="208"/>
      <c r="G165" s="297">
        <f>MAX(F166:F170)/MAX(E166:E170)</f>
        <v>0</v>
      </c>
      <c r="H165" s="1696" t="s">
        <v>1641</v>
      </c>
      <c r="I165" s="1865" t="s">
        <v>178</v>
      </c>
    </row>
    <row r="166" spans="1:68" ht="15" customHeight="1" x14ac:dyDescent="0.2">
      <c r="A166" s="1696"/>
      <c r="B166" s="1696"/>
      <c r="C166" s="380" t="str">
        <f>F!C248</f>
        <v>&lt;5%.</v>
      </c>
      <c r="D166" s="33">
        <f>F!D248</f>
        <v>0</v>
      </c>
      <c r="E166" s="464">
        <v>0</v>
      </c>
      <c r="F166" s="187">
        <f>D166*E166</f>
        <v>0</v>
      </c>
      <c r="G166" s="292"/>
      <c r="H166" s="1696"/>
      <c r="I166" s="1866"/>
    </row>
    <row r="167" spans="1:68" ht="15" customHeight="1" x14ac:dyDescent="0.2">
      <c r="A167" s="1696"/>
      <c r="B167" s="1696"/>
      <c r="C167" s="937" t="str">
        <f>F!C249</f>
        <v>5 to 30%.</v>
      </c>
      <c r="D167" s="33">
        <f>F!D249</f>
        <v>0</v>
      </c>
      <c r="E167" s="464">
        <v>2</v>
      </c>
      <c r="F167" s="187">
        <f>D167*E167</f>
        <v>0</v>
      </c>
      <c r="G167" s="293"/>
      <c r="H167" s="1696"/>
      <c r="I167" s="1866"/>
    </row>
    <row r="168" spans="1:68" ht="15" customHeight="1" x14ac:dyDescent="0.2">
      <c r="A168" s="1696"/>
      <c r="B168" s="1696"/>
      <c r="C168" s="937" t="str">
        <f>F!C250</f>
        <v>30 to 60%.</v>
      </c>
      <c r="D168" s="33">
        <f>F!D250</f>
        <v>0</v>
      </c>
      <c r="E168" s="464">
        <v>3</v>
      </c>
      <c r="F168" s="187">
        <f>D168*E168</f>
        <v>0</v>
      </c>
      <c r="G168" s="293"/>
      <c r="H168" s="1696"/>
      <c r="I168" s="1866"/>
    </row>
    <row r="169" spans="1:68" ht="15" customHeight="1" x14ac:dyDescent="0.2">
      <c r="A169" s="1696"/>
      <c r="B169" s="1696"/>
      <c r="C169" s="937" t="str">
        <f>F!C251</f>
        <v>60 to 90%.</v>
      </c>
      <c r="D169" s="33">
        <f>F!D251</f>
        <v>0</v>
      </c>
      <c r="E169" s="464">
        <v>4</v>
      </c>
      <c r="F169" s="187">
        <f>D169*E169</f>
        <v>0</v>
      </c>
      <c r="G169" s="293"/>
      <c r="H169" s="1696"/>
      <c r="I169" s="1866"/>
    </row>
    <row r="170" spans="1:68" ht="15" customHeight="1" thickBot="1" x14ac:dyDescent="0.25">
      <c r="A170" s="1696"/>
      <c r="B170" s="1696"/>
      <c r="C170" s="2" t="str">
        <f>F!C252</f>
        <v>&gt;90%, or all the area within 30 m of the AA edge is other wetlands. SKIP to F55.</v>
      </c>
      <c r="D170" s="128">
        <f>F!D252</f>
        <v>0</v>
      </c>
      <c r="E170" s="775">
        <v>5</v>
      </c>
      <c r="F170" s="190">
        <f>D170*E170</f>
        <v>0</v>
      </c>
      <c r="G170" s="302"/>
      <c r="H170" s="1696"/>
      <c r="I170" s="1866"/>
    </row>
    <row r="171" spans="1:68" ht="30" customHeight="1" thickBot="1" x14ac:dyDescent="0.25">
      <c r="A171" s="1693" t="str">
        <f>F!A253</f>
        <v>F53</v>
      </c>
      <c r="B171" s="1693" t="str">
        <f>F!B253</f>
        <v>Type of Cover in Buffer</v>
      </c>
      <c r="C171" s="240" t="str">
        <f>F!C253</f>
        <v>Within 30 m upslope of where the wetland transitions to upland, the upland land cover that is NOT perennial vegetation is mostly (mark ONE):</v>
      </c>
      <c r="D171" s="679"/>
      <c r="E171" s="191"/>
      <c r="F171" s="209"/>
      <c r="G171" s="291">
        <f>IF((BuffAllNat=1),"", MAX(F172:F173)/MAX(E172:E173))</f>
        <v>0</v>
      </c>
      <c r="H171" s="1693" t="s">
        <v>2609</v>
      </c>
      <c r="I171" s="1865" t="s">
        <v>179</v>
      </c>
    </row>
    <row r="172" spans="1:68" ht="15" customHeight="1" x14ac:dyDescent="0.2">
      <c r="A172" s="1696"/>
      <c r="B172" s="1696"/>
      <c r="C172" s="2" t="str">
        <f>F!C254</f>
        <v>Impervious surface, e.g., paved road, parking lot, building, exposed rock.</v>
      </c>
      <c r="D172" s="33">
        <f>F!D254</f>
        <v>0</v>
      </c>
      <c r="E172" s="35">
        <v>0</v>
      </c>
      <c r="F172" s="187">
        <f>D172*E172</f>
        <v>0</v>
      </c>
      <c r="G172" s="292"/>
      <c r="H172" s="1696"/>
      <c r="I172" s="1866"/>
    </row>
    <row r="173" spans="1:68" ht="27" customHeight="1" thickBot="1" x14ac:dyDescent="0.25">
      <c r="A173" s="1712"/>
      <c r="B173" s="1712"/>
      <c r="C173" s="399" t="str">
        <f>F!C255</f>
        <v>Bare or nearly bare pervious surface or managed vegetation, e.g., lawn, row crops, unpaved road, dike, landslide.</v>
      </c>
      <c r="D173" s="84">
        <f>F!D255</f>
        <v>0</v>
      </c>
      <c r="E173" s="112">
        <v>1</v>
      </c>
      <c r="F173" s="188">
        <f>D173*E173</f>
        <v>0</v>
      </c>
      <c r="G173" s="294"/>
      <c r="H173" s="1712"/>
      <c r="I173" s="1867"/>
    </row>
    <row r="174" spans="1:68" ht="67.5" customHeight="1" thickBot="1" x14ac:dyDescent="0.25">
      <c r="A174" s="1696" t="str">
        <f>F!A282</f>
        <v>F60</v>
      </c>
      <c r="B174" s="1693" t="str">
        <f>F!B282</f>
        <v xml:space="preserve">Unvisited Core Area </v>
      </c>
      <c r="C174" s="240" t="str">
        <f>F!C282</f>
        <v>The percentage of the AA almost never visited by humans during an average growing season probably comprises: [Note: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v>
      </c>
      <c r="D174" s="679"/>
      <c r="E174" s="217"/>
      <c r="F174" s="208"/>
      <c r="G174" s="297">
        <f>MAX(F175:F180)/MAX(E175:E180)</f>
        <v>0</v>
      </c>
      <c r="H174" s="1696" t="s">
        <v>41</v>
      </c>
      <c r="I174" s="1865" t="s">
        <v>176</v>
      </c>
    </row>
    <row r="175" spans="1:68" ht="15" customHeight="1" x14ac:dyDescent="0.2">
      <c r="A175" s="1696"/>
      <c r="B175" s="1696"/>
      <c r="C175" s="14" t="str">
        <f>F!C283</f>
        <v>&lt;5% and no inhabited building is within 100 m of the AA.</v>
      </c>
      <c r="D175" s="33">
        <f>F!D283</f>
        <v>0</v>
      </c>
      <c r="E175" s="672">
        <v>1</v>
      </c>
      <c r="F175" s="187">
        <f t="shared" ref="F175:F180" si="8">D175*E175</f>
        <v>0</v>
      </c>
      <c r="G175" s="292"/>
      <c r="H175" s="1696"/>
      <c r="I175" s="1866"/>
    </row>
    <row r="176" spans="1:68" ht="15" customHeight="1" x14ac:dyDescent="0.2">
      <c r="A176" s="1696"/>
      <c r="B176" s="1696"/>
      <c r="C176" s="4" t="str">
        <f>F!C284</f>
        <v>&lt;5% and inhabited building is within 100 m of the AA.</v>
      </c>
      <c r="D176" s="33">
        <f>F!D284</f>
        <v>0</v>
      </c>
      <c r="E176" s="672">
        <v>0</v>
      </c>
      <c r="F176" s="187">
        <f t="shared" si="8"/>
        <v>0</v>
      </c>
      <c r="G176" s="293"/>
      <c r="H176" s="1696"/>
      <c r="I176" s="1866"/>
    </row>
    <row r="177" spans="1:9" ht="15" customHeight="1" x14ac:dyDescent="0.2">
      <c r="A177" s="1696"/>
      <c r="B177" s="1696"/>
      <c r="C177" s="4" t="str">
        <f>F!C285</f>
        <v>5-50% and no inhabited building is within 100 m of the AA.</v>
      </c>
      <c r="D177" s="33">
        <f>F!D285</f>
        <v>0</v>
      </c>
      <c r="E177" s="672">
        <v>3</v>
      </c>
      <c r="F177" s="187">
        <f t="shared" si="8"/>
        <v>0</v>
      </c>
      <c r="G177" s="293"/>
      <c r="H177" s="1696"/>
      <c r="I177" s="1866"/>
    </row>
    <row r="178" spans="1:9" ht="15" customHeight="1" x14ac:dyDescent="0.2">
      <c r="A178" s="1696"/>
      <c r="B178" s="1696"/>
      <c r="C178" s="4" t="str">
        <f>F!C286</f>
        <v>5-50% and inhabited building is within 100 m of the AA.</v>
      </c>
      <c r="D178" s="33">
        <f>F!D286</f>
        <v>0</v>
      </c>
      <c r="E178" s="672">
        <v>2</v>
      </c>
      <c r="F178" s="187">
        <f t="shared" si="8"/>
        <v>0</v>
      </c>
      <c r="G178" s="293"/>
      <c r="H178" s="1696"/>
      <c r="I178" s="1866"/>
    </row>
    <row r="179" spans="1:9" ht="15" customHeight="1" x14ac:dyDescent="0.2">
      <c r="A179" s="1696"/>
      <c r="B179" s="1696"/>
      <c r="C179" s="4" t="str">
        <f>F!C287</f>
        <v>50-95%, with or without inhabited building nearby.</v>
      </c>
      <c r="D179" s="33">
        <f>F!D287</f>
        <v>0</v>
      </c>
      <c r="E179" s="672">
        <v>4</v>
      </c>
      <c r="F179" s="187">
        <f t="shared" si="8"/>
        <v>0</v>
      </c>
      <c r="G179" s="293"/>
      <c r="H179" s="1696"/>
      <c r="I179" s="1866"/>
    </row>
    <row r="180" spans="1:9" ht="15.6" customHeight="1" thickBot="1" x14ac:dyDescent="0.25">
      <c r="A180" s="1696"/>
      <c r="B180" s="1696"/>
      <c r="C180" s="241" t="str">
        <f>F!C288</f>
        <v>&gt;95% of the AA with or without inhabited building nearby.</v>
      </c>
      <c r="D180" s="128">
        <f>F!D288</f>
        <v>0</v>
      </c>
      <c r="E180" s="712">
        <v>5</v>
      </c>
      <c r="F180" s="190">
        <f t="shared" si="8"/>
        <v>0</v>
      </c>
      <c r="G180" s="302"/>
      <c r="H180" s="1696"/>
      <c r="I180" s="1866"/>
    </row>
    <row r="181" spans="1:9" ht="31.9" customHeight="1" thickBot="1" x14ac:dyDescent="0.25">
      <c r="A181" s="1693" t="str">
        <f>F!A289</f>
        <v>F61</v>
      </c>
      <c r="B181" s="1693" t="str">
        <f>F!B289</f>
        <v>Frequently Visited Area</v>
      </c>
      <c r="C181" s="240" t="str">
        <f>F!C289</f>
        <v>The part of the AA visited by humans almost daily for several weeks during an average growing season probably comprises:  [See note above.]</v>
      </c>
      <c r="D181" s="957"/>
      <c r="E181" s="290"/>
      <c r="F181" s="209"/>
      <c r="G181" s="291">
        <f>MAX(F182:F185)/MAX(E182:E185)</f>
        <v>0</v>
      </c>
      <c r="H181" s="1693" t="s">
        <v>87</v>
      </c>
      <c r="I181" s="1865" t="s">
        <v>177</v>
      </c>
    </row>
    <row r="182" spans="1:9" ht="15" customHeight="1" x14ac:dyDescent="0.2">
      <c r="A182" s="1696"/>
      <c r="B182" s="1696"/>
      <c r="C182" s="813" t="str">
        <f>F!C290</f>
        <v>&lt;5%. If F60 was answered "&gt;95%" (mostly never visited), SKIP to F64.</v>
      </c>
      <c r="D182" s="33">
        <f>F!D290</f>
        <v>0</v>
      </c>
      <c r="E182" s="672">
        <v>2</v>
      </c>
      <c r="F182" s="187">
        <f>D182*E182</f>
        <v>0</v>
      </c>
      <c r="G182" s="292"/>
      <c r="H182" s="1696"/>
      <c r="I182" s="1866"/>
    </row>
    <row r="183" spans="1:9" ht="15" customHeight="1" x14ac:dyDescent="0.2">
      <c r="A183" s="1696"/>
      <c r="B183" s="1696"/>
      <c r="C183" s="812" t="str">
        <f>F!C291</f>
        <v>5-50%.</v>
      </c>
      <c r="D183" s="33">
        <f>F!D291</f>
        <v>0</v>
      </c>
      <c r="E183" s="672">
        <v>1</v>
      </c>
      <c r="F183" s="187">
        <f>D183*E183</f>
        <v>0</v>
      </c>
      <c r="G183" s="293"/>
      <c r="H183" s="1696"/>
      <c r="I183" s="1866"/>
    </row>
    <row r="184" spans="1:9" ht="15" customHeight="1" x14ac:dyDescent="0.2">
      <c r="A184" s="1696"/>
      <c r="B184" s="1696"/>
      <c r="C184" s="628" t="str">
        <f>F!C292</f>
        <v>50-95%.</v>
      </c>
      <c r="D184" s="129">
        <f>F!D292</f>
        <v>0</v>
      </c>
      <c r="E184" s="672">
        <v>0</v>
      </c>
      <c r="F184" s="187">
        <f>D184*E184</f>
        <v>0</v>
      </c>
      <c r="G184" s="293"/>
      <c r="H184" s="1696"/>
      <c r="I184" s="1866"/>
    </row>
    <row r="185" spans="1:9" ht="15" customHeight="1" thickBot="1" x14ac:dyDescent="0.25">
      <c r="A185" s="1712"/>
      <c r="B185" s="1712"/>
      <c r="C185" s="677" t="str">
        <f>F!C293</f>
        <v>&gt;95% of the AA.</v>
      </c>
      <c r="D185" s="151">
        <f>F!D293</f>
        <v>0</v>
      </c>
      <c r="E185" s="707">
        <v>0</v>
      </c>
      <c r="F185" s="188">
        <f>D185*E185</f>
        <v>0</v>
      </c>
      <c r="G185" s="294"/>
      <c r="H185" s="1712"/>
      <c r="I185" s="1867"/>
    </row>
    <row r="186" spans="1:9" ht="60" customHeight="1" thickBot="1" x14ac:dyDescent="0.25">
      <c r="A186" s="3" t="str">
        <f>F!A295</f>
        <v>F63</v>
      </c>
      <c r="B186" s="240" t="str">
        <f>F!B295</f>
        <v>BMP - Wildlife Protection</v>
      </c>
      <c r="C186" s="622" t="str">
        <f>F!C295</f>
        <v xml:space="preserve">Fences, observation blinds, platforms, paved trails, exclusion periods, and/or well-enforced prohibitions on motorised boats, off-leash pets, and off road vehicles appear to effectively exclude or divert visitors and their pets from the AA at critical times in order to minimize disturbance of wildlife (except during hunting seasons). Enter "1" if true. </v>
      </c>
      <c r="D186" s="629">
        <f>F!D295</f>
        <v>0</v>
      </c>
      <c r="E186" s="220"/>
      <c r="F186" s="210"/>
      <c r="G186" s="291">
        <f>IF((D180+D182&gt;1),"",D186)</f>
        <v>0</v>
      </c>
      <c r="H186" s="3" t="s">
        <v>1101</v>
      </c>
      <c r="I186" s="894" t="s">
        <v>1040</v>
      </c>
    </row>
    <row r="187" spans="1:9" ht="45" customHeight="1" thickBot="1" x14ac:dyDescent="0.25">
      <c r="A187" s="787" t="str">
        <f>S!A25</f>
        <v>S2</v>
      </c>
      <c r="B187" s="787" t="str">
        <f>S!B25</f>
        <v>Accelerated Inputs of Contaminants and/or Salts</v>
      </c>
      <c r="C187" s="949" t="s">
        <v>2588</v>
      </c>
      <c r="D187" s="1356">
        <f>S!F37</f>
        <v>0</v>
      </c>
      <c r="E187" s="421"/>
      <c r="F187" s="754"/>
      <c r="G187" s="930">
        <f>1-D187</f>
        <v>1</v>
      </c>
      <c r="H187" s="645" t="s">
        <v>1466</v>
      </c>
      <c r="I187" s="860" t="s">
        <v>2182</v>
      </c>
    </row>
    <row r="188" spans="1:9" s="58" customFormat="1" ht="36" customHeight="1" thickBot="1" x14ac:dyDescent="0.25">
      <c r="A188" s="958" t="s">
        <v>88</v>
      </c>
      <c r="B188" s="959" t="s">
        <v>2860</v>
      </c>
      <c r="C188" s="960" t="s">
        <v>1164</v>
      </c>
      <c r="D188" s="851" t="s">
        <v>45</v>
      </c>
      <c r="E188" s="927" t="s">
        <v>1188</v>
      </c>
      <c r="F188" s="928" t="s">
        <v>1189</v>
      </c>
      <c r="G188" s="1438" t="s">
        <v>2558</v>
      </c>
      <c r="H188" s="850" t="s">
        <v>1117</v>
      </c>
      <c r="I188" s="974" t="s">
        <v>2427</v>
      </c>
    </row>
    <row r="189" spans="1:9" ht="117" customHeight="1" thickBot="1" x14ac:dyDescent="0.25">
      <c r="A189" s="3" t="str">
        <f>OF!A39</f>
        <v>OF6</v>
      </c>
      <c r="B189" s="3" t="str">
        <f>OF!B39</f>
        <v>Herbaceous Uniqueness</v>
      </c>
      <c r="C189" s="622" t="str">
        <f>OF!C39</f>
        <v xml:space="preserve">The AA's vegetation cover is &gt;10% herbaceous* but uplands within 5 km have &lt;10% herbaceous cover. If so, enter "3" and continue to OF7.  If not, consider: 
The AA's vegetation cover is &gt;10% herbaceous* but uplands within 1 km have &lt;10% herbaceous cover. If so enter "2" and continue to OF7.  If not, consider: 
The AA's vegetation cover is &gt;10% herbaceous* but uplands within 100 m of the wetland edge have &lt;10% herbaceous cover.  If so, enter "1".
[* NOTE: Exclude lawns, row crops, heavily grazed lands, forest, shrublands. Include moss as well as grasslike plants in this use of "herbaceous vegetation"]
</v>
      </c>
      <c r="D189" s="629">
        <f>OF!D39</f>
        <v>0</v>
      </c>
      <c r="E189" s="220"/>
      <c r="F189" s="210"/>
      <c r="G189" s="310">
        <f>D189/3</f>
        <v>0</v>
      </c>
      <c r="H189" s="3" t="s">
        <v>2232</v>
      </c>
      <c r="I189" s="894" t="s">
        <v>1304</v>
      </c>
    </row>
    <row r="190" spans="1:9" ht="99" customHeight="1" thickBot="1" x14ac:dyDescent="0.25">
      <c r="A190" s="68" t="str">
        <f>OF!A40</f>
        <v>OF7</v>
      </c>
      <c r="B190" s="68" t="str">
        <f>OF!B40</f>
        <v>Woody Uniqueness</v>
      </c>
      <c r="C190" s="812" t="str">
        <f>OF!C40</f>
        <v xml:space="preserve">The AA's vegetation cover is &gt;10% woody* but uplands within 5 km have &lt;10% woody cover. If so, enter "3" and continue to OF8.  If not, consider: 
The AA's vegetation is &gt;10% woody* but uplands within 1 km have &lt;10% woody cover. If so enter "2" and continue to OF8.  If not, consider: 
The AA's vegetation is &gt;10%  woody* but uplands within 100 m of the wetland edge have &lt;10% woody cover.  If so, enter "1"  
 [* NOTE: woody cover = trees &amp; shrubs taller than 1 m.]
</v>
      </c>
      <c r="D190" s="13">
        <f>OF!D40</f>
        <v>0</v>
      </c>
      <c r="E190" s="421"/>
      <c r="F190" s="206">
        <f>D190*E190</f>
        <v>0</v>
      </c>
      <c r="G190" s="951">
        <f>D190/3</f>
        <v>0</v>
      </c>
      <c r="H190" s="68" t="s">
        <v>87</v>
      </c>
      <c r="I190" s="818" t="s">
        <v>1305</v>
      </c>
    </row>
    <row r="191" spans="1:9" ht="30" customHeight="1" thickBot="1" x14ac:dyDescent="0.25">
      <c r="A191" s="1669" t="str">
        <f>OF!A64</f>
        <v>OF13</v>
      </c>
      <c r="B191" s="1669" t="str">
        <f>OF!B64</f>
        <v>Distance to Ponded Water</v>
      </c>
      <c r="C191" s="240" t="str">
        <f>OF!C64</f>
        <v>The distance from the AA center to the closest (but separate) ponded water body visible in GoogleEarth imagery is:</v>
      </c>
      <c r="D191" s="218"/>
      <c r="E191" s="290"/>
      <c r="F191" s="191"/>
      <c r="G191" s="310">
        <f>MAX(F192:F198)/MAX(E192:E198)</f>
        <v>0</v>
      </c>
      <c r="H191" s="1669" t="s">
        <v>2364</v>
      </c>
      <c r="I191" s="1093" t="s">
        <v>2365</v>
      </c>
    </row>
    <row r="192" spans="1:9" ht="25.5" x14ac:dyDescent="0.2">
      <c r="A192" s="1670"/>
      <c r="B192" s="1670"/>
      <c r="C192" s="14" t="str">
        <f>OF!C65</f>
        <v xml:space="preserve">&lt;50 m, and not separated by any width of paved roads, stretches of open water, row crops, lawn, bare ground, or impervious surface. </v>
      </c>
      <c r="D192" s="33">
        <f>OF!D65</f>
        <v>0</v>
      </c>
      <c r="E192" s="211">
        <v>0</v>
      </c>
      <c r="F192" s="187">
        <f t="shared" ref="F192:F198" si="9">D192*E192</f>
        <v>0</v>
      </c>
      <c r="G192" s="189"/>
      <c r="H192" s="1670"/>
      <c r="I192" s="818"/>
    </row>
    <row r="193" spans="1:9" x14ac:dyDescent="0.2">
      <c r="A193" s="1670"/>
      <c r="B193" s="1670"/>
      <c r="C193" s="4" t="str">
        <f>OF!C66</f>
        <v>&lt;50 m, but completely separated by those features.</v>
      </c>
      <c r="D193" s="33">
        <f>OF!D66</f>
        <v>0</v>
      </c>
      <c r="E193" s="211">
        <v>0</v>
      </c>
      <c r="F193" s="187">
        <f t="shared" si="9"/>
        <v>0</v>
      </c>
      <c r="G193" s="212"/>
      <c r="H193" s="1670"/>
      <c r="I193" s="818"/>
    </row>
    <row r="194" spans="1:9" x14ac:dyDescent="0.2">
      <c r="A194" s="1670"/>
      <c r="B194" s="1670"/>
      <c r="C194" s="4" t="str">
        <f>OF!C67</f>
        <v>50-500 m, and not separated.</v>
      </c>
      <c r="D194" s="33">
        <f>OF!D67</f>
        <v>0</v>
      </c>
      <c r="E194" s="211">
        <v>1</v>
      </c>
      <c r="F194" s="187">
        <f t="shared" si="9"/>
        <v>0</v>
      </c>
      <c r="G194" s="212"/>
      <c r="H194" s="1670"/>
      <c r="I194" s="818"/>
    </row>
    <row r="195" spans="1:9" x14ac:dyDescent="0.2">
      <c r="A195" s="1670"/>
      <c r="B195" s="1670"/>
      <c r="C195" s="4" t="str">
        <f>OF!C68</f>
        <v>50-500 m, but separated by those features.</v>
      </c>
      <c r="D195" s="33">
        <f>OF!D68</f>
        <v>0</v>
      </c>
      <c r="E195" s="211">
        <v>1</v>
      </c>
      <c r="F195" s="187">
        <f t="shared" si="9"/>
        <v>0</v>
      </c>
      <c r="G195" s="212"/>
      <c r="H195" s="1670"/>
      <c r="I195" s="818"/>
    </row>
    <row r="196" spans="1:9" x14ac:dyDescent="0.2">
      <c r="A196" s="1670"/>
      <c r="B196" s="1670"/>
      <c r="C196" s="4" t="str">
        <f>OF!C69</f>
        <v>0.5 - 1 km, and not separated.</v>
      </c>
      <c r="D196" s="33">
        <f>OF!D69</f>
        <v>0</v>
      </c>
      <c r="E196" s="211">
        <v>2</v>
      </c>
      <c r="F196" s="187">
        <f t="shared" si="9"/>
        <v>0</v>
      </c>
      <c r="G196" s="212"/>
      <c r="H196" s="1670"/>
      <c r="I196" s="818"/>
    </row>
    <row r="197" spans="1:9" x14ac:dyDescent="0.2">
      <c r="A197" s="1670"/>
      <c r="B197" s="1670"/>
      <c r="C197" s="4" t="str">
        <f>OF!C70</f>
        <v>0.5 - 1 km, but separated by those features.</v>
      </c>
      <c r="D197" s="33">
        <f>OF!D70</f>
        <v>0</v>
      </c>
      <c r="E197" s="211">
        <v>2</v>
      </c>
      <c r="F197" s="187">
        <f t="shared" si="9"/>
        <v>0</v>
      </c>
      <c r="G197" s="212"/>
      <c r="H197" s="1670"/>
      <c r="I197" s="818"/>
    </row>
    <row r="198" spans="1:9" ht="17.25" thickBot="1" x14ac:dyDescent="0.25">
      <c r="A198" s="1671"/>
      <c r="B198" s="1671"/>
      <c r="C198" s="241" t="str">
        <f>OF!C71</f>
        <v>None of the above (the closest patches or corridors that large are &gt;1 km away).</v>
      </c>
      <c r="D198" s="128">
        <f>OF!D71</f>
        <v>0</v>
      </c>
      <c r="E198" s="213">
        <v>4</v>
      </c>
      <c r="F198" s="190">
        <f t="shared" si="9"/>
        <v>0</v>
      </c>
      <c r="G198" s="214"/>
      <c r="H198" s="1671"/>
      <c r="I198" s="860"/>
    </row>
    <row r="199" spans="1:9" ht="45.75" customHeight="1" thickBot="1" x14ac:dyDescent="0.25">
      <c r="A199" s="787" t="str">
        <f>OF!A139</f>
        <v>OF29</v>
      </c>
      <c r="B199" s="787" t="str">
        <f>OF!B139</f>
        <v>Species of Conservation Concern</v>
      </c>
      <c r="C199" s="88" t="str">
        <f>OF!C141</f>
        <v>Presence of one or more of the amphibian or reptile species (AM) of conservation concern as listed in the Wildlife_Rare worksheet of the accompanying SuppInfo file.</v>
      </c>
      <c r="D199" s="155">
        <f>OF!D141</f>
        <v>0</v>
      </c>
      <c r="E199" s="220"/>
      <c r="F199" s="199"/>
      <c r="G199" s="289">
        <f>D199</f>
        <v>0</v>
      </c>
      <c r="H199" s="624" t="s">
        <v>1628</v>
      </c>
      <c r="I199" s="860" t="s">
        <v>1311</v>
      </c>
    </row>
    <row r="200" spans="1:9" ht="42.6" customHeight="1" thickBot="1" x14ac:dyDescent="0.25">
      <c r="A200" s="3"/>
      <c r="B200" s="952" t="str">
        <f>WBF!C171</f>
        <v>Function Score for Feeding Waterbird Habitat</v>
      </c>
      <c r="C200" s="953"/>
      <c r="D200" s="322"/>
      <c r="E200" s="322"/>
      <c r="F200" s="954"/>
      <c r="G200" s="310">
        <f>WBF!G171/10</f>
        <v>5.5555555555555546E-2</v>
      </c>
      <c r="H200" s="3" t="s">
        <v>474</v>
      </c>
      <c r="I200" s="894" t="s">
        <v>576</v>
      </c>
    </row>
    <row r="201" spans="1:9" ht="45" customHeight="1" thickBot="1" x14ac:dyDescent="0.25">
      <c r="A201" s="3"/>
      <c r="B201" s="952" t="str">
        <f>SBM!C186</f>
        <v>Function Score for Songbird, Raptor, &amp; Mammal Habitat</v>
      </c>
      <c r="C201" s="953"/>
      <c r="D201" s="322"/>
      <c r="E201" s="955"/>
      <c r="F201" s="956"/>
      <c r="G201" s="289">
        <f>SBM!G186/10</f>
        <v>0</v>
      </c>
      <c r="H201" s="3"/>
      <c r="I201" s="894" t="s">
        <v>577</v>
      </c>
    </row>
    <row r="202" spans="1:9" ht="21" customHeight="1" thickBot="1" x14ac:dyDescent="0.25">
      <c r="A202" s="703"/>
      <c r="B202" s="703"/>
      <c r="C202" s="703"/>
      <c r="D202" s="1859"/>
      <c r="E202" s="1859"/>
      <c r="F202" s="1859"/>
      <c r="G202" s="1859"/>
      <c r="H202" s="1859"/>
    </row>
    <row r="203" spans="1:9" ht="21" customHeight="1" x14ac:dyDescent="0.2">
      <c r="D203" s="1944" t="s">
        <v>613</v>
      </c>
      <c r="E203" s="1945"/>
      <c r="F203" s="1945"/>
      <c r="G203" s="932">
        <f>IFERROR(AVERAGE(Fluctu11, SatPct11,PermWpct11, ISOwet11),"")</f>
        <v>0</v>
      </c>
      <c r="H203" s="1029" t="s">
        <v>2409</v>
      </c>
      <c r="I203" s="1030" t="s">
        <v>2143</v>
      </c>
    </row>
    <row r="204" spans="1:9" ht="21" customHeight="1" x14ac:dyDescent="0.2">
      <c r="D204" s="1946" t="s">
        <v>314</v>
      </c>
      <c r="E204" s="1947"/>
      <c r="F204" s="1947"/>
      <c r="G204" s="933">
        <f>IF((AllSat1)&gt;0,"", IF((NoPonded=1),"", AVERAGE(ABpct11,WoodAbove11, Interspers11, Vwidth11)))</f>
        <v>0</v>
      </c>
      <c r="H204" s="1016" t="s">
        <v>2064</v>
      </c>
      <c r="I204" s="1031" t="s">
        <v>2144</v>
      </c>
    </row>
    <row r="205" spans="1:9" ht="21" customHeight="1" x14ac:dyDescent="0.2">
      <c r="D205" s="1946" t="s">
        <v>315</v>
      </c>
      <c r="E205" s="1947"/>
      <c r="F205" s="1947"/>
      <c r="G205" s="933">
        <f>AVERAGE(WoodDown11, WoodHerbMix11,ShrubSun11, Gcover11, Girreg11,Inclus11a,WetTypeDiv11)</f>
        <v>0</v>
      </c>
      <c r="H205" s="1016" t="s">
        <v>2336</v>
      </c>
      <c r="I205" s="1031" t="s">
        <v>2145</v>
      </c>
    </row>
    <row r="206" spans="1:9" ht="21" customHeight="1" x14ac:dyDescent="0.2">
      <c r="D206" s="1946" t="s">
        <v>149</v>
      </c>
      <c r="E206" s="1947"/>
      <c r="F206" s="1947"/>
      <c r="G206" s="933">
        <f>AVERAGE(Aspect11, _GDD11,TreeVar11,GroundW11,Karst11)</f>
        <v>0</v>
      </c>
      <c r="H206" s="1016" t="s">
        <v>2581</v>
      </c>
      <c r="I206" s="1031" t="s">
        <v>2146</v>
      </c>
    </row>
    <row r="207" spans="1:9" ht="27" customHeight="1" x14ac:dyDescent="0.2">
      <c r="D207" s="1946" t="s">
        <v>118</v>
      </c>
      <c r="E207" s="1947"/>
      <c r="F207" s="1947"/>
      <c r="G207" s="933">
        <f>AVERAGE(RoadCirc11,AVERAGE(NatVegPct11, BuffLU11, NatVegProx11, NatCov2mi11, ScapeLU11, NatVegSize11))</f>
        <v>0</v>
      </c>
      <c r="H207" s="1016" t="s">
        <v>2065</v>
      </c>
      <c r="I207" s="1031" t="s">
        <v>2147</v>
      </c>
    </row>
    <row r="208" spans="1:9" ht="30" customHeight="1" x14ac:dyDescent="0.2">
      <c r="D208" s="1915" t="s">
        <v>192</v>
      </c>
      <c r="E208" s="1916"/>
      <c r="F208" s="1916"/>
      <c r="G208" s="933">
        <f>PondProx11</f>
        <v>0</v>
      </c>
      <c r="H208" s="1016" t="s">
        <v>1309</v>
      </c>
      <c r="I208" s="1031" t="s">
        <v>2862</v>
      </c>
    </row>
    <row r="209" spans="1:9" ht="21" customHeight="1" thickBot="1" x14ac:dyDescent="0.25">
      <c r="D209" s="1948" t="s">
        <v>1141</v>
      </c>
      <c r="E209" s="1949"/>
      <c r="F209" s="1949"/>
      <c r="G209" s="934">
        <f>AVERAGE(FishAcc11, AVERAGE(RdDis11, Acidic11,Toxic11, ToxicIn11,Core1_11,Core2_11,_BMP11))</f>
        <v>0.2857142857142857</v>
      </c>
      <c r="H209" s="1032" t="s">
        <v>1310</v>
      </c>
      <c r="I209" s="1033" t="s">
        <v>2149</v>
      </c>
    </row>
    <row r="210" spans="1:9" ht="21" customHeight="1" thickBot="1" x14ac:dyDescent="0.25">
      <c r="D210" s="1965"/>
      <c r="E210" s="1965"/>
      <c r="F210" s="1965"/>
      <c r="G210" s="1965"/>
      <c r="H210" s="1841"/>
    </row>
    <row r="211" spans="1:9" ht="30" customHeight="1" thickBot="1" x14ac:dyDescent="0.25">
      <c r="A211" s="1841"/>
      <c r="B211" s="1871"/>
      <c r="C211" s="1838" t="s">
        <v>910</v>
      </c>
      <c r="D211" s="1839"/>
      <c r="E211" s="1840"/>
      <c r="F211" s="1046" t="s">
        <v>52</v>
      </c>
      <c r="G211" s="925">
        <f>10*AVERAGE(Wettype11, Hydro11,(AVERAGE(AqStruc11,TerrStruc11,Produc11,Lscape11,Waterscape11,Stress11)))</f>
        <v>0.15873015873015872</v>
      </c>
      <c r="H211" s="1807" t="s">
        <v>2411</v>
      </c>
      <c r="I211" s="1808"/>
    </row>
    <row r="212" spans="1:9" ht="30" customHeight="1" thickBot="1" x14ac:dyDescent="0.25">
      <c r="A212" s="1841"/>
      <c r="B212" s="1871"/>
      <c r="C212" s="1838" t="s">
        <v>2148</v>
      </c>
      <c r="D212" s="1839"/>
      <c r="E212" s="1840"/>
      <c r="F212" s="1046" t="s">
        <v>2223</v>
      </c>
      <c r="G212" s="926">
        <f>10*(IF((RareHerp=1),1, AVERAGE(WBFscore10, MAX(HerbUniq,WoodyUniq,DistPond10),SBMscore10)))</f>
        <v>0.18518518518518515</v>
      </c>
      <c r="H212" s="1807" t="s">
        <v>2366</v>
      </c>
      <c r="I212" s="1808"/>
    </row>
    <row r="213" spans="1:9" ht="21" customHeight="1" thickBot="1" x14ac:dyDescent="0.25">
      <c r="D213" s="2"/>
      <c r="E213" s="2"/>
      <c r="F213" s="2"/>
      <c r="G213" s="2"/>
    </row>
    <row r="214" spans="1:9" ht="21" customHeight="1" thickBot="1" x14ac:dyDescent="0.25">
      <c r="D214" s="2"/>
      <c r="E214" s="2"/>
      <c r="F214" s="2"/>
      <c r="G214" s="2"/>
      <c r="H214" s="1913" t="s">
        <v>669</v>
      </c>
      <c r="I214" s="1914"/>
    </row>
    <row r="215" spans="1:9" ht="42" customHeight="1" x14ac:dyDescent="0.2">
      <c r="D215" s="2"/>
      <c r="E215" s="2"/>
      <c r="F215" s="2"/>
      <c r="G215" s="2"/>
      <c r="H215" s="1966" t="s">
        <v>850</v>
      </c>
      <c r="I215" s="1967"/>
    </row>
    <row r="216" spans="1:9" ht="42" customHeight="1" x14ac:dyDescent="0.2">
      <c r="D216" s="2"/>
      <c r="E216" s="2"/>
      <c r="F216" s="2"/>
      <c r="G216" s="2"/>
      <c r="H216" s="1792" t="s">
        <v>1369</v>
      </c>
      <c r="I216" s="1793"/>
    </row>
    <row r="217" spans="1:9" ht="42" customHeight="1" x14ac:dyDescent="0.2">
      <c r="D217" s="2"/>
      <c r="E217" s="2"/>
      <c r="F217" s="2"/>
      <c r="G217" s="2"/>
      <c r="H217" s="1792" t="s">
        <v>1750</v>
      </c>
      <c r="I217" s="1793"/>
    </row>
    <row r="218" spans="1:9" ht="42" customHeight="1" x14ac:dyDescent="0.2">
      <c r="D218" s="2"/>
      <c r="E218" s="2"/>
      <c r="F218" s="2"/>
      <c r="G218" s="2"/>
      <c r="H218" s="1792" t="s">
        <v>1519</v>
      </c>
      <c r="I218" s="1793"/>
    </row>
    <row r="219" spans="1:9" ht="27" customHeight="1" x14ac:dyDescent="0.2">
      <c r="D219" s="2"/>
      <c r="E219" s="2"/>
      <c r="F219" s="2"/>
      <c r="G219" s="2"/>
      <c r="H219" s="1792" t="s">
        <v>851</v>
      </c>
      <c r="I219" s="1793"/>
    </row>
    <row r="220" spans="1:9" ht="27" customHeight="1" x14ac:dyDescent="0.2">
      <c r="D220" s="2"/>
      <c r="E220" s="2"/>
      <c r="F220" s="2"/>
      <c r="G220" s="2"/>
      <c r="H220" s="1796" t="s">
        <v>1370</v>
      </c>
      <c r="I220" s="1797"/>
    </row>
    <row r="221" spans="1:9" ht="27" customHeight="1" x14ac:dyDescent="0.2">
      <c r="D221" s="2"/>
      <c r="E221" s="2"/>
      <c r="F221" s="2"/>
      <c r="G221" s="2"/>
      <c r="H221" s="1792" t="s">
        <v>852</v>
      </c>
      <c r="I221" s="1793"/>
    </row>
    <row r="222" spans="1:9" ht="27" customHeight="1" x14ac:dyDescent="0.2">
      <c r="D222" s="2"/>
      <c r="E222" s="2"/>
      <c r="F222" s="2"/>
      <c r="G222" s="2"/>
      <c r="H222" s="1792" t="s">
        <v>853</v>
      </c>
      <c r="I222" s="1793"/>
    </row>
    <row r="223" spans="1:9" ht="27" customHeight="1" x14ac:dyDescent="0.2">
      <c r="D223" s="2"/>
      <c r="E223" s="2"/>
      <c r="F223" s="2"/>
      <c r="G223" s="2"/>
      <c r="H223" s="1792" t="s">
        <v>854</v>
      </c>
      <c r="I223" s="1793"/>
    </row>
    <row r="224" spans="1:9" ht="27" customHeight="1" x14ac:dyDescent="0.2">
      <c r="D224" s="2"/>
      <c r="E224" s="2"/>
      <c r="F224" s="2"/>
      <c r="G224" s="2"/>
      <c r="H224" s="1792" t="s">
        <v>1743</v>
      </c>
      <c r="I224" s="1793"/>
    </row>
    <row r="225" spans="3:9" ht="42" customHeight="1" x14ac:dyDescent="0.2">
      <c r="D225" s="2"/>
      <c r="E225" s="2"/>
      <c r="F225" s="2"/>
      <c r="G225" s="2"/>
      <c r="H225" s="1792" t="s">
        <v>1419</v>
      </c>
      <c r="I225" s="1793"/>
    </row>
    <row r="226" spans="3:9" ht="27" customHeight="1" x14ac:dyDescent="0.2">
      <c r="D226" s="2"/>
      <c r="E226" s="2"/>
      <c r="F226" s="2"/>
      <c r="G226" s="2"/>
      <c r="H226" s="1792" t="s">
        <v>1744</v>
      </c>
      <c r="I226" s="1793"/>
    </row>
    <row r="227" spans="3:9" ht="27" customHeight="1" x14ac:dyDescent="0.2">
      <c r="D227" s="2"/>
      <c r="E227" s="2"/>
      <c r="F227" s="2"/>
      <c r="G227" s="2"/>
      <c r="H227" s="1796" t="s">
        <v>1371</v>
      </c>
      <c r="I227" s="1797"/>
    </row>
    <row r="228" spans="3:9" ht="42" customHeight="1" x14ac:dyDescent="0.2">
      <c r="D228" s="2"/>
      <c r="E228" s="2"/>
      <c r="F228" s="2"/>
      <c r="G228" s="2"/>
      <c r="H228" s="1792" t="s">
        <v>855</v>
      </c>
      <c r="I228" s="1793"/>
    </row>
    <row r="229" spans="3:9" ht="42" customHeight="1" x14ac:dyDescent="0.2">
      <c r="D229" s="2"/>
      <c r="E229" s="2"/>
      <c r="F229" s="2"/>
      <c r="G229" s="2"/>
      <c r="H229" s="1792" t="s">
        <v>1745</v>
      </c>
      <c r="I229" s="1793"/>
    </row>
    <row r="230" spans="3:9" ht="42" customHeight="1" x14ac:dyDescent="0.2">
      <c r="D230" s="2"/>
      <c r="E230" s="2"/>
      <c r="F230" s="2"/>
      <c r="G230" s="2"/>
      <c r="H230" s="1792" t="s">
        <v>1520</v>
      </c>
      <c r="I230" s="1793"/>
    </row>
    <row r="231" spans="3:9" ht="27" customHeight="1" x14ac:dyDescent="0.2">
      <c r="D231" s="2"/>
      <c r="E231" s="2"/>
      <c r="F231" s="2"/>
      <c r="G231" s="2"/>
      <c r="H231" s="1792" t="s">
        <v>1396</v>
      </c>
      <c r="I231" s="1793"/>
    </row>
    <row r="232" spans="3:9" ht="27" customHeight="1" x14ac:dyDescent="0.2">
      <c r="D232" s="2"/>
      <c r="E232" s="2"/>
      <c r="F232" s="2"/>
      <c r="G232" s="2"/>
      <c r="H232" s="1792" t="s">
        <v>856</v>
      </c>
      <c r="I232" s="1793"/>
    </row>
    <row r="233" spans="3:9" ht="27" customHeight="1" x14ac:dyDescent="0.2">
      <c r="D233" s="2"/>
      <c r="E233" s="2"/>
      <c r="F233" s="2"/>
      <c r="G233" s="2"/>
      <c r="H233" s="1796" t="s">
        <v>1393</v>
      </c>
      <c r="I233" s="1797"/>
    </row>
    <row r="234" spans="3:9" ht="27" customHeight="1" x14ac:dyDescent="0.2">
      <c r="C234" s="6"/>
      <c r="D234" s="395"/>
      <c r="E234" s="395"/>
      <c r="F234" s="185"/>
      <c r="G234" s="457"/>
      <c r="H234" s="1796" t="s">
        <v>1394</v>
      </c>
      <c r="I234" s="1797"/>
    </row>
    <row r="235" spans="3:9" ht="27" customHeight="1" x14ac:dyDescent="0.2">
      <c r="C235" s="6"/>
      <c r="D235" s="395"/>
      <c r="E235" s="395"/>
      <c r="F235" s="185"/>
      <c r="G235" s="457"/>
      <c r="H235" s="1796" t="s">
        <v>1395</v>
      </c>
      <c r="I235" s="1797"/>
    </row>
    <row r="236" spans="3:9" ht="27" customHeight="1" x14ac:dyDescent="0.2">
      <c r="C236" s="6"/>
      <c r="D236" s="395"/>
      <c r="E236" s="395"/>
      <c r="F236" s="185"/>
      <c r="G236" s="457"/>
      <c r="H236" s="1796" t="s">
        <v>1746</v>
      </c>
      <c r="I236" s="1797"/>
    </row>
    <row r="237" spans="3:9" ht="27" customHeight="1" x14ac:dyDescent="0.2">
      <c r="C237" s="6"/>
      <c r="D237" s="395"/>
      <c r="E237" s="2"/>
      <c r="F237" s="2"/>
      <c r="G237" s="2"/>
      <c r="H237" s="1796" t="s">
        <v>1747</v>
      </c>
      <c r="I237" s="1797"/>
    </row>
    <row r="238" spans="3:9" ht="27" customHeight="1" x14ac:dyDescent="0.2">
      <c r="C238" s="6"/>
      <c r="D238" s="395"/>
      <c r="E238" s="395"/>
      <c r="F238" s="395"/>
      <c r="G238" s="185"/>
      <c r="H238" s="1796" t="s">
        <v>1372</v>
      </c>
      <c r="I238" s="1797"/>
    </row>
    <row r="239" spans="3:9" ht="27" customHeight="1" x14ac:dyDescent="0.2">
      <c r="C239" s="6"/>
      <c r="D239" s="395"/>
      <c r="E239" s="395"/>
      <c r="F239" s="395"/>
      <c r="G239" s="185"/>
      <c r="H239" s="1792" t="s">
        <v>1203</v>
      </c>
      <c r="I239" s="1793"/>
    </row>
    <row r="240" spans="3:9" ht="27" customHeight="1" x14ac:dyDescent="0.2">
      <c r="C240" s="6"/>
      <c r="D240" s="395"/>
      <c r="E240" s="395"/>
      <c r="F240" s="185"/>
      <c r="G240" s="457"/>
      <c r="H240" s="1796" t="s">
        <v>1373</v>
      </c>
      <c r="I240" s="1797"/>
    </row>
    <row r="241" spans="3:9" ht="27" customHeight="1" x14ac:dyDescent="0.2">
      <c r="C241" s="6"/>
      <c r="D241" s="395"/>
      <c r="E241" s="395"/>
      <c r="F241" s="185"/>
      <c r="G241" s="457"/>
      <c r="H241" s="1796" t="s">
        <v>1521</v>
      </c>
      <c r="I241" s="1797"/>
    </row>
    <row r="242" spans="3:9" ht="27" customHeight="1" x14ac:dyDescent="0.2">
      <c r="C242" s="6"/>
      <c r="D242" s="395"/>
      <c r="E242" s="395"/>
      <c r="F242" s="185"/>
      <c r="G242" s="457"/>
      <c r="H242" s="1796" t="s">
        <v>1374</v>
      </c>
      <c r="I242" s="1797"/>
    </row>
    <row r="243" spans="3:9" ht="42" customHeight="1" x14ac:dyDescent="0.2">
      <c r="C243" s="6"/>
      <c r="D243" s="395"/>
      <c r="E243" s="395"/>
      <c r="F243" s="185"/>
      <c r="G243" s="457"/>
      <c r="H243" s="1792" t="s">
        <v>1629</v>
      </c>
      <c r="I243" s="1793"/>
    </row>
    <row r="244" spans="3:9" ht="42" customHeight="1" x14ac:dyDescent="0.2">
      <c r="C244" s="6"/>
      <c r="D244" s="395"/>
      <c r="E244" s="395"/>
      <c r="F244" s="185"/>
      <c r="G244" s="457"/>
      <c r="H244" s="1792" t="s">
        <v>1409</v>
      </c>
      <c r="I244" s="1793"/>
    </row>
    <row r="245" spans="3:9" ht="27" customHeight="1" x14ac:dyDescent="0.2">
      <c r="C245" s="6"/>
      <c r="D245" s="395"/>
      <c r="E245" s="395"/>
      <c r="F245" s="185"/>
      <c r="G245" s="457"/>
      <c r="H245" s="1792" t="s">
        <v>1748</v>
      </c>
      <c r="I245" s="1793"/>
    </row>
    <row r="246" spans="3:9" ht="27" customHeight="1" x14ac:dyDescent="0.2">
      <c r="C246" s="6"/>
      <c r="D246" s="395"/>
      <c r="E246" s="395"/>
      <c r="F246" s="185"/>
      <c r="G246" s="457"/>
      <c r="H246" s="1792" t="s">
        <v>1749</v>
      </c>
      <c r="I246" s="1793"/>
    </row>
    <row r="247" spans="3:9" ht="27" customHeight="1" x14ac:dyDescent="0.2">
      <c r="C247" s="6"/>
      <c r="D247" s="395"/>
      <c r="E247" s="395"/>
      <c r="F247" s="185"/>
      <c r="G247" s="457"/>
      <c r="H247" s="1792" t="s">
        <v>1350</v>
      </c>
      <c r="I247" s="1793"/>
    </row>
    <row r="248" spans="3:9" ht="42" customHeight="1" x14ac:dyDescent="0.2">
      <c r="C248" s="6"/>
      <c r="D248" s="395"/>
      <c r="E248" s="395"/>
      <c r="F248" s="185"/>
      <c r="G248" s="457"/>
      <c r="H248" s="1792" t="s">
        <v>857</v>
      </c>
      <c r="I248" s="1793"/>
    </row>
    <row r="249" spans="3:9" ht="27" customHeight="1" x14ac:dyDescent="0.2">
      <c r="C249" s="6"/>
      <c r="D249" s="395"/>
      <c r="E249" s="395"/>
      <c r="F249" s="185"/>
      <c r="G249" s="457"/>
      <c r="H249" s="1796" t="s">
        <v>1630</v>
      </c>
      <c r="I249" s="1797"/>
    </row>
    <row r="250" spans="3:9" ht="27" customHeight="1" x14ac:dyDescent="0.2">
      <c r="C250" s="6"/>
      <c r="D250" s="395"/>
      <c r="E250" s="395"/>
      <c r="F250" s="185"/>
      <c r="G250" s="457"/>
      <c r="H250" s="1796" t="s">
        <v>1522</v>
      </c>
      <c r="I250" s="1797"/>
    </row>
    <row r="251" spans="3:9" ht="42" customHeight="1" thickBot="1" x14ac:dyDescent="0.25">
      <c r="C251" s="6"/>
      <c r="D251" s="395"/>
      <c r="E251" s="395"/>
      <c r="F251" s="185"/>
      <c r="G251" s="457"/>
      <c r="H251" s="2013" t="s">
        <v>1375</v>
      </c>
      <c r="I251" s="2014"/>
    </row>
    <row r="252" spans="3:9" x14ac:dyDescent="0.2">
      <c r="F252" s="185"/>
      <c r="G252" s="457"/>
    </row>
    <row r="253" spans="3:9" x14ac:dyDescent="0.2">
      <c r="F253" s="185"/>
      <c r="G253" s="457"/>
    </row>
    <row r="254" spans="3:9" x14ac:dyDescent="0.2">
      <c r="F254" s="185"/>
      <c r="G254" s="457"/>
    </row>
    <row r="255" spans="3:9" x14ac:dyDescent="0.2">
      <c r="F255" s="185"/>
      <c r="G255" s="457"/>
    </row>
    <row r="256" spans="3:9" x14ac:dyDescent="0.2">
      <c r="F256" s="185"/>
      <c r="G256" s="457"/>
    </row>
    <row r="257" spans="3:7" x14ac:dyDescent="0.2">
      <c r="F257" s="185"/>
      <c r="G257" s="457"/>
    </row>
    <row r="258" spans="3:7" x14ac:dyDescent="0.2">
      <c r="C258" s="6"/>
      <c r="D258" s="395"/>
      <c r="E258" s="395"/>
      <c r="F258" s="185"/>
      <c r="G258" s="457"/>
    </row>
    <row r="259" spans="3:7" x14ac:dyDescent="0.2">
      <c r="C259" s="6"/>
      <c r="D259" s="395"/>
      <c r="E259" s="395"/>
      <c r="F259" s="185"/>
      <c r="G259" s="457"/>
    </row>
    <row r="260" spans="3:7" x14ac:dyDescent="0.2">
      <c r="C260" s="6"/>
      <c r="D260" s="395"/>
      <c r="E260" s="395"/>
      <c r="F260" s="185"/>
      <c r="G260" s="457"/>
    </row>
    <row r="261" spans="3:7" x14ac:dyDescent="0.2">
      <c r="C261" s="6"/>
      <c r="D261" s="395"/>
      <c r="E261" s="395"/>
      <c r="F261" s="185"/>
      <c r="G261" s="457"/>
    </row>
    <row r="262" spans="3:7" x14ac:dyDescent="0.2">
      <c r="C262" s="6"/>
      <c r="D262" s="395"/>
      <c r="E262" s="395"/>
      <c r="F262" s="185"/>
      <c r="G262" s="457"/>
    </row>
    <row r="263" spans="3:7" x14ac:dyDescent="0.2">
      <c r="C263" s="6"/>
      <c r="D263" s="395"/>
      <c r="E263" s="395"/>
      <c r="F263" s="185"/>
      <c r="G263" s="457"/>
    </row>
    <row r="264" spans="3:7" x14ac:dyDescent="0.2">
      <c r="C264" s="6"/>
      <c r="D264" s="395"/>
      <c r="E264" s="395"/>
      <c r="F264" s="185"/>
      <c r="G264" s="457"/>
    </row>
    <row r="265" spans="3:7" x14ac:dyDescent="0.2">
      <c r="C265" s="6"/>
      <c r="D265" s="395"/>
      <c r="E265" s="395"/>
      <c r="F265" s="185"/>
      <c r="G265" s="457"/>
    </row>
    <row r="266" spans="3:7" x14ac:dyDescent="0.2">
      <c r="C266" s="6"/>
      <c r="D266" s="395"/>
      <c r="E266" s="395"/>
      <c r="F266" s="185"/>
      <c r="G266" s="457"/>
    </row>
    <row r="267" spans="3:7" x14ac:dyDescent="0.2">
      <c r="C267" s="6"/>
      <c r="D267" s="395"/>
      <c r="E267" s="395"/>
      <c r="F267" s="185"/>
      <c r="G267" s="457"/>
    </row>
    <row r="268" spans="3:7" x14ac:dyDescent="0.2">
      <c r="C268" s="6"/>
      <c r="D268" s="395"/>
      <c r="E268" s="395"/>
      <c r="F268" s="185"/>
      <c r="G268" s="457"/>
    </row>
    <row r="269" spans="3:7" x14ac:dyDescent="0.2">
      <c r="C269" s="6"/>
      <c r="D269" s="395"/>
      <c r="E269" s="395"/>
      <c r="F269" s="185"/>
      <c r="G269" s="457"/>
    </row>
    <row r="270" spans="3:7" x14ac:dyDescent="0.2">
      <c r="C270" s="6"/>
      <c r="D270" s="395"/>
      <c r="E270" s="395"/>
      <c r="F270" s="185"/>
      <c r="G270" s="457"/>
    </row>
    <row r="271" spans="3:7" x14ac:dyDescent="0.2">
      <c r="C271" s="6"/>
      <c r="D271" s="395"/>
      <c r="E271" s="395"/>
      <c r="F271" s="185"/>
      <c r="G271" s="457"/>
    </row>
    <row r="272" spans="3:7" x14ac:dyDescent="0.2">
      <c r="C272" s="6"/>
      <c r="D272" s="395"/>
      <c r="E272" s="395"/>
      <c r="F272" s="185"/>
      <c r="G272" s="457"/>
    </row>
    <row r="273" spans="3:7" x14ac:dyDescent="0.2">
      <c r="C273" s="6"/>
      <c r="D273" s="395"/>
      <c r="E273" s="395"/>
      <c r="F273" s="185"/>
      <c r="G273" s="457"/>
    </row>
    <row r="274" spans="3:7" x14ac:dyDescent="0.2">
      <c r="C274" s="6"/>
      <c r="D274" s="395"/>
      <c r="E274" s="395"/>
      <c r="F274" s="185"/>
      <c r="G274" s="457"/>
    </row>
    <row r="275" spans="3:7" x14ac:dyDescent="0.2">
      <c r="C275" s="6"/>
      <c r="D275" s="395"/>
      <c r="E275" s="395"/>
      <c r="F275" s="185"/>
      <c r="G275" s="457"/>
    </row>
    <row r="276" spans="3:7" x14ac:dyDescent="0.2">
      <c r="C276" s="6"/>
      <c r="D276" s="395"/>
      <c r="E276" s="395"/>
      <c r="F276" s="185"/>
      <c r="G276" s="457"/>
    </row>
    <row r="277" spans="3:7" x14ac:dyDescent="0.2">
      <c r="C277" s="6"/>
      <c r="D277" s="395"/>
      <c r="E277" s="395"/>
      <c r="F277" s="185"/>
      <c r="G277" s="457"/>
    </row>
    <row r="278" spans="3:7" x14ac:dyDescent="0.2">
      <c r="C278" s="6"/>
      <c r="D278" s="395"/>
      <c r="E278" s="395"/>
      <c r="F278" s="185"/>
      <c r="G278" s="457"/>
    </row>
    <row r="279" spans="3:7" x14ac:dyDescent="0.2">
      <c r="C279" s="6"/>
      <c r="D279" s="395"/>
      <c r="E279" s="395"/>
      <c r="F279" s="185"/>
      <c r="G279" s="457"/>
    </row>
    <row r="280" spans="3:7" x14ac:dyDescent="0.2">
      <c r="C280" s="6"/>
      <c r="D280" s="395"/>
      <c r="E280" s="395"/>
      <c r="F280" s="185"/>
      <c r="G280" s="457"/>
    </row>
    <row r="281" spans="3:7" x14ac:dyDescent="0.2">
      <c r="C281" s="6"/>
      <c r="D281" s="395"/>
      <c r="E281" s="395"/>
      <c r="F281" s="185"/>
      <c r="G281" s="457"/>
    </row>
    <row r="282" spans="3:7" x14ac:dyDescent="0.2">
      <c r="C282" s="6"/>
      <c r="D282" s="395"/>
      <c r="E282" s="395"/>
      <c r="F282" s="185"/>
      <c r="G282" s="457"/>
    </row>
    <row r="283" spans="3:7" x14ac:dyDescent="0.2">
      <c r="C283" s="6"/>
      <c r="D283" s="395"/>
      <c r="E283" s="395"/>
      <c r="F283" s="185"/>
      <c r="G283" s="457"/>
    </row>
    <row r="284" spans="3:7" x14ac:dyDescent="0.2">
      <c r="C284" s="6"/>
      <c r="D284" s="395"/>
      <c r="E284" s="395"/>
      <c r="F284" s="185"/>
      <c r="G284" s="457"/>
    </row>
    <row r="285" spans="3:7" x14ac:dyDescent="0.2">
      <c r="C285" s="6"/>
      <c r="D285" s="395"/>
      <c r="E285" s="395"/>
      <c r="F285" s="185"/>
      <c r="G285" s="457"/>
    </row>
    <row r="286" spans="3:7" x14ac:dyDescent="0.2">
      <c r="C286" s="6"/>
      <c r="D286" s="395"/>
      <c r="E286" s="395"/>
      <c r="F286" s="185"/>
      <c r="G286" s="457"/>
    </row>
    <row r="287" spans="3:7" x14ac:dyDescent="0.2">
      <c r="C287" s="6"/>
      <c r="D287" s="395"/>
      <c r="E287" s="395"/>
      <c r="F287" s="185"/>
      <c r="G287" s="457"/>
    </row>
    <row r="288" spans="3:7" x14ac:dyDescent="0.2">
      <c r="C288" s="6"/>
      <c r="D288" s="395"/>
      <c r="E288" s="395"/>
      <c r="F288" s="185"/>
      <c r="G288" s="457"/>
    </row>
    <row r="289" spans="3:7" x14ac:dyDescent="0.2">
      <c r="C289" s="6"/>
      <c r="D289" s="395"/>
      <c r="E289" s="395"/>
      <c r="F289" s="185"/>
      <c r="G289" s="457"/>
    </row>
    <row r="290" spans="3:7" x14ac:dyDescent="0.2">
      <c r="C290" s="6"/>
      <c r="D290" s="395"/>
      <c r="E290" s="395"/>
      <c r="F290" s="185"/>
      <c r="G290" s="457"/>
    </row>
    <row r="291" spans="3:7" x14ac:dyDescent="0.2">
      <c r="C291" s="6"/>
      <c r="D291" s="395"/>
      <c r="E291" s="395"/>
      <c r="F291" s="185"/>
      <c r="G291" s="457"/>
    </row>
    <row r="292" spans="3:7" x14ac:dyDescent="0.2">
      <c r="C292" s="6"/>
      <c r="D292" s="395"/>
      <c r="E292" s="395"/>
      <c r="F292" s="185"/>
      <c r="G292" s="457"/>
    </row>
    <row r="293" spans="3:7" x14ac:dyDescent="0.2">
      <c r="C293" s="6"/>
      <c r="D293" s="395"/>
      <c r="E293" s="395"/>
      <c r="F293" s="185"/>
      <c r="G293" s="457"/>
    </row>
    <row r="294" spans="3:7" x14ac:dyDescent="0.2">
      <c r="C294" s="6"/>
      <c r="D294" s="395"/>
      <c r="E294" s="395"/>
      <c r="F294" s="185"/>
      <c r="G294" s="457"/>
    </row>
    <row r="295" spans="3:7" x14ac:dyDescent="0.2">
      <c r="C295" s="6"/>
      <c r="D295" s="395"/>
      <c r="E295" s="395"/>
      <c r="F295" s="185"/>
      <c r="G295" s="457"/>
    </row>
    <row r="296" spans="3:7" x14ac:dyDescent="0.2">
      <c r="C296" s="6"/>
      <c r="D296" s="395"/>
      <c r="E296" s="395"/>
      <c r="F296" s="185"/>
      <c r="G296" s="457"/>
    </row>
    <row r="297" spans="3:7" x14ac:dyDescent="0.2">
      <c r="C297" s="6"/>
      <c r="D297" s="395"/>
      <c r="E297" s="395"/>
      <c r="F297" s="185"/>
      <c r="G297" s="457"/>
    </row>
    <row r="298" spans="3:7" x14ac:dyDescent="0.2">
      <c r="C298" s="6"/>
      <c r="D298" s="395"/>
      <c r="E298" s="395"/>
      <c r="F298" s="185"/>
      <c r="G298" s="457"/>
    </row>
    <row r="299" spans="3:7" x14ac:dyDescent="0.2">
      <c r="C299" s="6"/>
      <c r="D299" s="395"/>
      <c r="E299" s="395"/>
      <c r="F299" s="185"/>
      <c r="G299" s="457"/>
    </row>
    <row r="300" spans="3:7" x14ac:dyDescent="0.2">
      <c r="C300" s="6"/>
      <c r="D300" s="395"/>
      <c r="E300" s="395"/>
      <c r="F300" s="185"/>
      <c r="G300" s="457"/>
    </row>
    <row r="301" spans="3:7" x14ac:dyDescent="0.2">
      <c r="C301" s="6"/>
      <c r="D301" s="395"/>
      <c r="E301" s="395"/>
      <c r="F301" s="185"/>
      <c r="G301" s="457"/>
    </row>
    <row r="302" spans="3:7" x14ac:dyDescent="0.2">
      <c r="C302" s="6"/>
      <c r="D302" s="395"/>
      <c r="E302" s="395"/>
      <c r="F302" s="185"/>
      <c r="G302" s="457"/>
    </row>
    <row r="303" spans="3:7" x14ac:dyDescent="0.2">
      <c r="F303" s="185"/>
      <c r="G303" s="457"/>
    </row>
    <row r="304" spans="3:7" x14ac:dyDescent="0.2">
      <c r="F304" s="185"/>
      <c r="G304" s="457"/>
    </row>
    <row r="305" spans="6:7" x14ac:dyDescent="0.2">
      <c r="F305" s="185"/>
      <c r="G305" s="457"/>
    </row>
    <row r="306" spans="6:7" x14ac:dyDescent="0.2">
      <c r="F306" s="185"/>
      <c r="G306" s="457"/>
    </row>
    <row r="307" spans="6:7" x14ac:dyDescent="0.2">
      <c r="F307" s="185"/>
      <c r="G307" s="457"/>
    </row>
    <row r="308" spans="6:7" x14ac:dyDescent="0.2">
      <c r="F308" s="185"/>
      <c r="G308" s="457"/>
    </row>
    <row r="309" spans="6:7" x14ac:dyDescent="0.2">
      <c r="F309" s="185"/>
      <c r="G309" s="457"/>
    </row>
    <row r="310" spans="6:7" x14ac:dyDescent="0.2">
      <c r="F310" s="185"/>
      <c r="G310" s="457"/>
    </row>
    <row r="311" spans="6:7" x14ac:dyDescent="0.2">
      <c r="F311" s="185"/>
      <c r="G311" s="457"/>
    </row>
    <row r="312" spans="6:7" x14ac:dyDescent="0.2">
      <c r="F312" s="185"/>
      <c r="G312" s="457"/>
    </row>
    <row r="313" spans="6:7" x14ac:dyDescent="0.2">
      <c r="F313" s="185"/>
      <c r="G313" s="457"/>
    </row>
    <row r="314" spans="6:7" x14ac:dyDescent="0.2">
      <c r="F314" s="185"/>
      <c r="G314" s="457"/>
    </row>
    <row r="315" spans="6:7" x14ac:dyDescent="0.2">
      <c r="F315" s="185"/>
      <c r="G315" s="457"/>
    </row>
    <row r="316" spans="6:7" x14ac:dyDescent="0.2">
      <c r="F316" s="185"/>
      <c r="G316" s="457"/>
    </row>
    <row r="317" spans="6:7" x14ac:dyDescent="0.2">
      <c r="F317" s="185"/>
      <c r="G317" s="457"/>
    </row>
    <row r="318" spans="6:7" x14ac:dyDescent="0.2">
      <c r="F318" s="185"/>
      <c r="G318" s="457"/>
    </row>
    <row r="319" spans="6:7" x14ac:dyDescent="0.2">
      <c r="F319" s="185"/>
      <c r="G319" s="457"/>
    </row>
    <row r="320" spans="6:7" x14ac:dyDescent="0.2">
      <c r="F320" s="185"/>
      <c r="G320" s="457"/>
    </row>
    <row r="321" spans="6:7" x14ac:dyDescent="0.2">
      <c r="F321" s="185"/>
      <c r="G321" s="457"/>
    </row>
    <row r="322" spans="6:7" x14ac:dyDescent="0.2">
      <c r="F322" s="185"/>
      <c r="G322" s="457"/>
    </row>
    <row r="323" spans="6:7" x14ac:dyDescent="0.2">
      <c r="F323" s="185"/>
      <c r="G323" s="457"/>
    </row>
    <row r="324" spans="6:7" x14ac:dyDescent="0.2">
      <c r="F324" s="185"/>
      <c r="G324" s="457"/>
    </row>
    <row r="325" spans="6:7" x14ac:dyDescent="0.2">
      <c r="F325" s="185"/>
      <c r="G325" s="457"/>
    </row>
    <row r="326" spans="6:7" x14ac:dyDescent="0.2">
      <c r="F326" s="185"/>
      <c r="G326" s="457"/>
    </row>
    <row r="327" spans="6:7" x14ac:dyDescent="0.2">
      <c r="F327" s="185"/>
      <c r="G327" s="457"/>
    </row>
    <row r="328" spans="6:7" x14ac:dyDescent="0.2">
      <c r="F328" s="185"/>
      <c r="G328" s="457"/>
    </row>
    <row r="329" spans="6:7" x14ac:dyDescent="0.2">
      <c r="F329" s="185"/>
      <c r="G329" s="457"/>
    </row>
    <row r="330" spans="6:7" x14ac:dyDescent="0.2">
      <c r="F330" s="185"/>
      <c r="G330" s="457"/>
    </row>
    <row r="331" spans="6:7" x14ac:dyDescent="0.2">
      <c r="F331" s="185"/>
      <c r="G331" s="457"/>
    </row>
    <row r="332" spans="6:7" x14ac:dyDescent="0.2">
      <c r="F332" s="185"/>
      <c r="G332" s="457"/>
    </row>
    <row r="333" spans="6:7" x14ac:dyDescent="0.2">
      <c r="F333" s="185"/>
      <c r="G333" s="457"/>
    </row>
    <row r="334" spans="6:7" x14ac:dyDescent="0.2">
      <c r="F334" s="185"/>
      <c r="G334" s="457"/>
    </row>
    <row r="335" spans="6:7" x14ac:dyDescent="0.2">
      <c r="F335" s="185"/>
      <c r="G335" s="457"/>
    </row>
    <row r="336" spans="6:7" x14ac:dyDescent="0.2">
      <c r="F336" s="185"/>
      <c r="G336" s="457"/>
    </row>
    <row r="337" spans="6:7" x14ac:dyDescent="0.2">
      <c r="F337" s="185"/>
      <c r="G337" s="457"/>
    </row>
    <row r="338" spans="6:7" x14ac:dyDescent="0.2">
      <c r="F338" s="185"/>
      <c r="G338" s="457"/>
    </row>
    <row r="339" spans="6:7" x14ac:dyDescent="0.2">
      <c r="F339" s="185"/>
      <c r="G339" s="457"/>
    </row>
    <row r="340" spans="6:7" x14ac:dyDescent="0.2">
      <c r="F340" s="185"/>
      <c r="G340" s="457"/>
    </row>
    <row r="341" spans="6:7" x14ac:dyDescent="0.2">
      <c r="F341" s="185"/>
      <c r="G341" s="457"/>
    </row>
    <row r="342" spans="6:7" x14ac:dyDescent="0.2">
      <c r="F342" s="185"/>
      <c r="G342" s="457"/>
    </row>
    <row r="343" spans="6:7" x14ac:dyDescent="0.2">
      <c r="F343" s="185"/>
      <c r="G343" s="457"/>
    </row>
    <row r="344" spans="6:7" x14ac:dyDescent="0.2">
      <c r="F344" s="185"/>
      <c r="G344" s="457"/>
    </row>
    <row r="345" spans="6:7" x14ac:dyDescent="0.2">
      <c r="F345" s="185"/>
      <c r="G345" s="457"/>
    </row>
    <row r="346" spans="6:7" x14ac:dyDescent="0.2">
      <c r="F346" s="185"/>
      <c r="G346" s="457"/>
    </row>
    <row r="347" spans="6:7" x14ac:dyDescent="0.2">
      <c r="F347" s="185"/>
      <c r="G347" s="457"/>
    </row>
    <row r="348" spans="6:7" x14ac:dyDescent="0.2">
      <c r="F348" s="185"/>
      <c r="G348" s="457"/>
    </row>
    <row r="349" spans="6:7" x14ac:dyDescent="0.2">
      <c r="F349" s="185"/>
      <c r="G349" s="457"/>
    </row>
    <row r="350" spans="6:7" x14ac:dyDescent="0.2">
      <c r="F350" s="185"/>
      <c r="G350" s="457"/>
    </row>
    <row r="351" spans="6:7" x14ac:dyDescent="0.2">
      <c r="F351" s="185"/>
      <c r="G351" s="457"/>
    </row>
    <row r="352" spans="6:7" x14ac:dyDescent="0.2">
      <c r="F352" s="185"/>
      <c r="G352" s="457"/>
    </row>
    <row r="353" spans="6:7" x14ac:dyDescent="0.2">
      <c r="F353" s="185"/>
      <c r="G353" s="457"/>
    </row>
    <row r="354" spans="6:7" x14ac:dyDescent="0.2">
      <c r="F354" s="185"/>
      <c r="G354" s="457"/>
    </row>
    <row r="355" spans="6:7" x14ac:dyDescent="0.2">
      <c r="F355" s="185"/>
      <c r="G355" s="457"/>
    </row>
    <row r="356" spans="6:7" x14ac:dyDescent="0.2">
      <c r="F356" s="185"/>
      <c r="G356" s="457"/>
    </row>
    <row r="357" spans="6:7" x14ac:dyDescent="0.2">
      <c r="F357" s="185"/>
      <c r="G357" s="457"/>
    </row>
    <row r="358" spans="6:7" x14ac:dyDescent="0.2">
      <c r="F358" s="185"/>
      <c r="G358" s="457"/>
    </row>
    <row r="359" spans="6:7" x14ac:dyDescent="0.2">
      <c r="F359" s="185"/>
      <c r="G359" s="457"/>
    </row>
    <row r="360" spans="6:7" x14ac:dyDescent="0.2">
      <c r="F360" s="185"/>
      <c r="G360" s="457"/>
    </row>
    <row r="361" spans="6:7" x14ac:dyDescent="0.2">
      <c r="F361" s="185"/>
      <c r="G361" s="457"/>
    </row>
    <row r="362" spans="6:7" x14ac:dyDescent="0.2">
      <c r="F362" s="185"/>
      <c r="G362" s="457"/>
    </row>
    <row r="363" spans="6:7" x14ac:dyDescent="0.2">
      <c r="F363" s="185"/>
      <c r="G363" s="457"/>
    </row>
    <row r="364" spans="6:7" x14ac:dyDescent="0.2">
      <c r="F364" s="185"/>
      <c r="G364" s="457"/>
    </row>
    <row r="365" spans="6:7" x14ac:dyDescent="0.2">
      <c r="F365" s="185"/>
      <c r="G365" s="457"/>
    </row>
    <row r="366" spans="6:7" x14ac:dyDescent="0.2">
      <c r="F366" s="185"/>
      <c r="G366" s="457"/>
    </row>
    <row r="367" spans="6:7" x14ac:dyDescent="0.2">
      <c r="F367" s="185"/>
      <c r="G367" s="457"/>
    </row>
    <row r="368" spans="6:7" x14ac:dyDescent="0.2">
      <c r="F368" s="185"/>
      <c r="G368" s="457"/>
    </row>
    <row r="369" spans="6:7" x14ac:dyDescent="0.2">
      <c r="F369" s="185"/>
      <c r="G369" s="457"/>
    </row>
    <row r="370" spans="6:7" x14ac:dyDescent="0.2">
      <c r="F370" s="185"/>
      <c r="G370" s="457"/>
    </row>
    <row r="371" spans="6:7" x14ac:dyDescent="0.2">
      <c r="F371" s="185"/>
      <c r="G371" s="457"/>
    </row>
    <row r="372" spans="6:7" x14ac:dyDescent="0.2">
      <c r="F372" s="185"/>
      <c r="G372" s="457"/>
    </row>
    <row r="373" spans="6:7" x14ac:dyDescent="0.2">
      <c r="F373" s="185"/>
      <c r="G373" s="457"/>
    </row>
    <row r="374" spans="6:7" x14ac:dyDescent="0.2">
      <c r="F374" s="185"/>
      <c r="G374" s="457"/>
    </row>
    <row r="375" spans="6:7" x14ac:dyDescent="0.2">
      <c r="F375" s="185"/>
      <c r="G375" s="457"/>
    </row>
    <row r="376" spans="6:7" x14ac:dyDescent="0.2">
      <c r="F376" s="185"/>
      <c r="G376" s="457"/>
    </row>
    <row r="377" spans="6:7" x14ac:dyDescent="0.2">
      <c r="F377" s="185"/>
      <c r="G377" s="457"/>
    </row>
    <row r="378" spans="6:7" x14ac:dyDescent="0.2">
      <c r="F378" s="185"/>
      <c r="G378" s="457"/>
    </row>
    <row r="379" spans="6:7" x14ac:dyDescent="0.2">
      <c r="F379" s="185"/>
      <c r="G379" s="457"/>
    </row>
    <row r="380" spans="6:7" x14ac:dyDescent="0.2">
      <c r="F380" s="185"/>
      <c r="G380" s="457"/>
    </row>
    <row r="381" spans="6:7" x14ac:dyDescent="0.2">
      <c r="F381" s="185"/>
      <c r="G381" s="457"/>
    </row>
    <row r="382" spans="6:7" x14ac:dyDescent="0.2">
      <c r="F382" s="185"/>
      <c r="G382" s="457"/>
    </row>
    <row r="383" spans="6:7" x14ac:dyDescent="0.2">
      <c r="F383" s="185"/>
      <c r="G383" s="457"/>
    </row>
    <row r="384" spans="6:7" x14ac:dyDescent="0.2">
      <c r="F384" s="185"/>
      <c r="G384" s="457"/>
    </row>
    <row r="385" spans="6:7" x14ac:dyDescent="0.2">
      <c r="F385" s="185"/>
      <c r="G385" s="457"/>
    </row>
    <row r="386" spans="6:7" x14ac:dyDescent="0.2">
      <c r="F386" s="185"/>
      <c r="G386" s="457"/>
    </row>
    <row r="387" spans="6:7" x14ac:dyDescent="0.2">
      <c r="F387" s="185"/>
      <c r="G387" s="457"/>
    </row>
    <row r="388" spans="6:7" x14ac:dyDescent="0.2">
      <c r="F388" s="185"/>
      <c r="G388" s="457"/>
    </row>
    <row r="389" spans="6:7" x14ac:dyDescent="0.2">
      <c r="F389" s="185"/>
      <c r="G389" s="457"/>
    </row>
    <row r="390" spans="6:7" x14ac:dyDescent="0.2">
      <c r="F390" s="185"/>
      <c r="G390" s="457"/>
    </row>
    <row r="391" spans="6:7" x14ac:dyDescent="0.2">
      <c r="F391" s="185"/>
      <c r="G391" s="457"/>
    </row>
    <row r="392" spans="6:7" x14ac:dyDescent="0.2">
      <c r="F392" s="185"/>
      <c r="G392" s="457"/>
    </row>
    <row r="393" spans="6:7" x14ac:dyDescent="0.2">
      <c r="F393" s="185"/>
      <c r="G393" s="457"/>
    </row>
    <row r="394" spans="6:7" x14ac:dyDescent="0.2">
      <c r="F394" s="185"/>
      <c r="G394" s="457"/>
    </row>
    <row r="395" spans="6:7" x14ac:dyDescent="0.2">
      <c r="F395" s="185"/>
      <c r="G395" s="457"/>
    </row>
    <row r="396" spans="6:7" x14ac:dyDescent="0.2">
      <c r="F396" s="185"/>
      <c r="G396" s="457"/>
    </row>
    <row r="397" spans="6:7" x14ac:dyDescent="0.2">
      <c r="F397" s="185"/>
      <c r="G397" s="457"/>
    </row>
    <row r="398" spans="6:7" x14ac:dyDescent="0.2">
      <c r="F398" s="185"/>
      <c r="G398" s="457"/>
    </row>
    <row r="399" spans="6:7" x14ac:dyDescent="0.2">
      <c r="F399" s="185"/>
      <c r="G399" s="457"/>
    </row>
    <row r="400" spans="6:7" x14ac:dyDescent="0.2">
      <c r="F400" s="185"/>
      <c r="G400" s="457"/>
    </row>
    <row r="401" spans="6:7" x14ac:dyDescent="0.2">
      <c r="F401" s="185"/>
      <c r="G401" s="457"/>
    </row>
    <row r="402" spans="6:7" x14ac:dyDescent="0.2">
      <c r="F402" s="185"/>
      <c r="G402" s="457"/>
    </row>
    <row r="403" spans="6:7" x14ac:dyDescent="0.2">
      <c r="F403" s="185"/>
      <c r="G403" s="457"/>
    </row>
    <row r="404" spans="6:7" x14ac:dyDescent="0.2">
      <c r="F404" s="185"/>
      <c r="G404" s="457"/>
    </row>
    <row r="405" spans="6:7" x14ac:dyDescent="0.2">
      <c r="F405" s="185"/>
      <c r="G405" s="457"/>
    </row>
    <row r="406" spans="6:7" x14ac:dyDescent="0.2">
      <c r="F406" s="185"/>
      <c r="G406" s="457"/>
    </row>
    <row r="407" spans="6:7" x14ac:dyDescent="0.2">
      <c r="F407" s="185"/>
      <c r="G407" s="457"/>
    </row>
    <row r="408" spans="6:7" x14ac:dyDescent="0.2">
      <c r="F408" s="185"/>
      <c r="G408" s="457"/>
    </row>
    <row r="409" spans="6:7" x14ac:dyDescent="0.2">
      <c r="F409" s="185"/>
      <c r="G409" s="457"/>
    </row>
    <row r="410" spans="6:7" x14ac:dyDescent="0.2">
      <c r="F410" s="185"/>
      <c r="G410" s="457"/>
    </row>
    <row r="411" spans="6:7" x14ac:dyDescent="0.2">
      <c r="F411" s="185"/>
      <c r="G411" s="457"/>
    </row>
    <row r="412" spans="6:7" x14ac:dyDescent="0.2">
      <c r="F412" s="185"/>
      <c r="G412" s="457"/>
    </row>
    <row r="413" spans="6:7" x14ac:dyDescent="0.2">
      <c r="F413" s="185"/>
      <c r="G413" s="457"/>
    </row>
    <row r="414" spans="6:7" x14ac:dyDescent="0.2">
      <c r="F414" s="185"/>
      <c r="G414" s="457"/>
    </row>
    <row r="415" spans="6:7" x14ac:dyDescent="0.2">
      <c r="F415" s="185"/>
      <c r="G415" s="457"/>
    </row>
    <row r="416" spans="6:7" x14ac:dyDescent="0.2">
      <c r="F416" s="185"/>
      <c r="G416" s="457"/>
    </row>
    <row r="417" spans="6:7" x14ac:dyDescent="0.2">
      <c r="F417" s="185"/>
      <c r="G417" s="457"/>
    </row>
    <row r="418" spans="6:7" x14ac:dyDescent="0.2">
      <c r="F418" s="185"/>
      <c r="G418" s="457"/>
    </row>
    <row r="419" spans="6:7" x14ac:dyDescent="0.2">
      <c r="F419" s="185"/>
      <c r="G419" s="457"/>
    </row>
    <row r="420" spans="6:7" x14ac:dyDescent="0.2">
      <c r="F420" s="185"/>
      <c r="G420" s="457"/>
    </row>
    <row r="421" spans="6:7" x14ac:dyDescent="0.2">
      <c r="F421" s="185"/>
      <c r="G421" s="457"/>
    </row>
    <row r="422" spans="6:7" x14ac:dyDescent="0.2">
      <c r="F422" s="185"/>
      <c r="G422" s="457"/>
    </row>
    <row r="423" spans="6:7" x14ac:dyDescent="0.2">
      <c r="F423" s="185"/>
      <c r="G423" s="457"/>
    </row>
    <row r="424" spans="6:7" x14ac:dyDescent="0.2">
      <c r="F424" s="185"/>
      <c r="G424" s="457"/>
    </row>
    <row r="425" spans="6:7" x14ac:dyDescent="0.2">
      <c r="F425" s="185"/>
      <c r="G425" s="457"/>
    </row>
    <row r="426" spans="6:7" x14ac:dyDescent="0.2">
      <c r="F426" s="185"/>
      <c r="G426" s="457"/>
    </row>
    <row r="427" spans="6:7" x14ac:dyDescent="0.2">
      <c r="F427" s="185"/>
      <c r="G427" s="457"/>
    </row>
    <row r="428" spans="6:7" x14ac:dyDescent="0.2">
      <c r="F428" s="185"/>
      <c r="G428" s="457"/>
    </row>
    <row r="429" spans="6:7" x14ac:dyDescent="0.2">
      <c r="F429" s="185"/>
      <c r="G429" s="457"/>
    </row>
    <row r="430" spans="6:7" x14ac:dyDescent="0.2">
      <c r="F430" s="185"/>
      <c r="G430" s="457"/>
    </row>
    <row r="431" spans="6:7" x14ac:dyDescent="0.2">
      <c r="F431" s="185"/>
      <c r="G431" s="457"/>
    </row>
    <row r="432" spans="6:7" x14ac:dyDescent="0.2">
      <c r="F432" s="185"/>
      <c r="G432" s="457"/>
    </row>
    <row r="433" spans="6:7" x14ac:dyDescent="0.2">
      <c r="F433" s="185"/>
      <c r="G433" s="457"/>
    </row>
    <row r="434" spans="6:7" x14ac:dyDescent="0.2">
      <c r="F434" s="185"/>
      <c r="G434" s="457"/>
    </row>
    <row r="435" spans="6:7" x14ac:dyDescent="0.2">
      <c r="F435" s="185"/>
      <c r="G435" s="457"/>
    </row>
    <row r="436" spans="6:7" x14ac:dyDescent="0.2">
      <c r="F436" s="185"/>
      <c r="G436" s="457"/>
    </row>
    <row r="437" spans="6:7" x14ac:dyDescent="0.2">
      <c r="F437" s="185"/>
      <c r="G437" s="457"/>
    </row>
    <row r="438" spans="6:7" x14ac:dyDescent="0.2">
      <c r="F438" s="185"/>
      <c r="G438" s="457"/>
    </row>
    <row r="439" spans="6:7" x14ac:dyDescent="0.2">
      <c r="F439" s="185"/>
      <c r="G439" s="457"/>
    </row>
    <row r="440" spans="6:7" x14ac:dyDescent="0.2">
      <c r="F440" s="185"/>
      <c r="G440" s="457"/>
    </row>
    <row r="441" spans="6:7" x14ac:dyDescent="0.2">
      <c r="F441" s="185"/>
      <c r="G441" s="457"/>
    </row>
    <row r="442" spans="6:7" x14ac:dyDescent="0.2">
      <c r="F442" s="185"/>
      <c r="G442" s="457"/>
    </row>
    <row r="443" spans="6:7" x14ac:dyDescent="0.2">
      <c r="F443" s="185"/>
      <c r="G443" s="457"/>
    </row>
    <row r="444" spans="6:7" x14ac:dyDescent="0.2">
      <c r="F444" s="185"/>
      <c r="G444" s="457"/>
    </row>
    <row r="445" spans="6:7" x14ac:dyDescent="0.2">
      <c r="F445" s="185"/>
      <c r="G445" s="457"/>
    </row>
    <row r="446" spans="6:7" x14ac:dyDescent="0.2">
      <c r="F446" s="185"/>
      <c r="G446" s="457"/>
    </row>
    <row r="447" spans="6:7" x14ac:dyDescent="0.2">
      <c r="F447" s="185"/>
      <c r="G447" s="457"/>
    </row>
    <row r="448" spans="6:7" x14ac:dyDescent="0.2">
      <c r="F448" s="185"/>
      <c r="G448" s="457"/>
    </row>
    <row r="449" spans="6:7" x14ac:dyDescent="0.2">
      <c r="F449" s="185"/>
      <c r="G449" s="457"/>
    </row>
    <row r="450" spans="6:7" x14ac:dyDescent="0.2">
      <c r="F450" s="185"/>
      <c r="G450" s="457"/>
    </row>
    <row r="451" spans="6:7" x14ac:dyDescent="0.2">
      <c r="F451" s="185"/>
      <c r="G451" s="457"/>
    </row>
    <row r="452" spans="6:7" x14ac:dyDescent="0.2">
      <c r="F452" s="185"/>
      <c r="G452" s="457"/>
    </row>
    <row r="453" spans="6:7" x14ac:dyDescent="0.2">
      <c r="F453" s="185"/>
      <c r="G453" s="457"/>
    </row>
    <row r="454" spans="6:7" x14ac:dyDescent="0.2">
      <c r="F454" s="185"/>
      <c r="G454" s="457"/>
    </row>
    <row r="455" spans="6:7" x14ac:dyDescent="0.2">
      <c r="F455" s="185"/>
      <c r="G455" s="457"/>
    </row>
    <row r="456" spans="6:7" x14ac:dyDescent="0.2">
      <c r="F456" s="185"/>
      <c r="G456" s="457"/>
    </row>
    <row r="457" spans="6:7" x14ac:dyDescent="0.2">
      <c r="F457" s="185"/>
      <c r="G457" s="457"/>
    </row>
    <row r="458" spans="6:7" x14ac:dyDescent="0.2">
      <c r="F458" s="185"/>
      <c r="G458" s="457"/>
    </row>
    <row r="459" spans="6:7" x14ac:dyDescent="0.2">
      <c r="F459" s="185"/>
      <c r="G459" s="457"/>
    </row>
    <row r="460" spans="6:7" x14ac:dyDescent="0.2">
      <c r="F460" s="185"/>
      <c r="G460" s="457"/>
    </row>
    <row r="461" spans="6:7" x14ac:dyDescent="0.2">
      <c r="F461" s="185"/>
      <c r="G461" s="457"/>
    </row>
    <row r="462" spans="6:7" x14ac:dyDescent="0.2">
      <c r="F462" s="185"/>
      <c r="G462" s="457"/>
    </row>
    <row r="463" spans="6:7" x14ac:dyDescent="0.2">
      <c r="F463" s="185"/>
      <c r="G463" s="457"/>
    </row>
    <row r="464" spans="6:7" x14ac:dyDescent="0.2">
      <c r="F464" s="185"/>
      <c r="G464" s="457"/>
    </row>
    <row r="465" spans="6:7" x14ac:dyDescent="0.2">
      <c r="F465" s="185"/>
      <c r="G465" s="457"/>
    </row>
    <row r="466" spans="6:7" x14ac:dyDescent="0.2">
      <c r="F466" s="185"/>
      <c r="G466" s="457"/>
    </row>
    <row r="467" spans="6:7" x14ac:dyDescent="0.2">
      <c r="F467" s="185"/>
      <c r="G467" s="457"/>
    </row>
    <row r="468" spans="6:7" x14ac:dyDescent="0.2">
      <c r="F468" s="185"/>
      <c r="G468" s="457"/>
    </row>
    <row r="469" spans="6:7" x14ac:dyDescent="0.2">
      <c r="F469" s="185"/>
      <c r="G469" s="457"/>
    </row>
    <row r="470" spans="6:7" x14ac:dyDescent="0.2">
      <c r="F470" s="185"/>
      <c r="G470" s="457"/>
    </row>
    <row r="471" spans="6:7" x14ac:dyDescent="0.2">
      <c r="F471" s="185"/>
      <c r="G471" s="457"/>
    </row>
    <row r="472" spans="6:7" x14ac:dyDescent="0.2">
      <c r="F472" s="185"/>
      <c r="G472" s="457"/>
    </row>
    <row r="473" spans="6:7" x14ac:dyDescent="0.2">
      <c r="F473" s="185"/>
      <c r="G473" s="457"/>
    </row>
    <row r="474" spans="6:7" x14ac:dyDescent="0.2">
      <c r="F474" s="185"/>
      <c r="G474" s="457"/>
    </row>
    <row r="475" spans="6:7" x14ac:dyDescent="0.2">
      <c r="F475" s="185"/>
      <c r="G475" s="457"/>
    </row>
    <row r="476" spans="6:7" x14ac:dyDescent="0.2">
      <c r="F476" s="185"/>
      <c r="G476" s="457"/>
    </row>
    <row r="477" spans="6:7" x14ac:dyDescent="0.2">
      <c r="F477" s="185"/>
      <c r="G477" s="457"/>
    </row>
    <row r="478" spans="6:7" x14ac:dyDescent="0.2">
      <c r="F478" s="185"/>
      <c r="G478" s="457"/>
    </row>
    <row r="479" spans="6:7" x14ac:dyDescent="0.2">
      <c r="F479" s="185"/>
      <c r="G479" s="457"/>
    </row>
    <row r="480" spans="6:7" x14ac:dyDescent="0.2">
      <c r="F480" s="185"/>
      <c r="G480" s="457"/>
    </row>
    <row r="481" spans="6:7" x14ac:dyDescent="0.2">
      <c r="F481" s="185"/>
      <c r="G481" s="457"/>
    </row>
    <row r="482" spans="6:7" x14ac:dyDescent="0.2">
      <c r="F482" s="185"/>
      <c r="G482" s="457"/>
    </row>
    <row r="483" spans="6:7" x14ac:dyDescent="0.2">
      <c r="F483" s="185"/>
      <c r="G483" s="457"/>
    </row>
    <row r="484" spans="6:7" x14ac:dyDescent="0.2">
      <c r="F484" s="185"/>
      <c r="G484" s="457"/>
    </row>
    <row r="485" spans="6:7" x14ac:dyDescent="0.2">
      <c r="F485" s="185"/>
      <c r="G485" s="457"/>
    </row>
    <row r="486" spans="6:7" x14ac:dyDescent="0.2">
      <c r="F486" s="185"/>
      <c r="G486" s="457"/>
    </row>
    <row r="487" spans="6:7" x14ac:dyDescent="0.2">
      <c r="F487" s="185"/>
      <c r="G487" s="457"/>
    </row>
    <row r="488" spans="6:7" x14ac:dyDescent="0.2">
      <c r="F488" s="185"/>
      <c r="G488" s="457"/>
    </row>
    <row r="489" spans="6:7" x14ac:dyDescent="0.2">
      <c r="F489" s="185"/>
      <c r="G489" s="457"/>
    </row>
    <row r="490" spans="6:7" x14ac:dyDescent="0.2">
      <c r="F490" s="185"/>
      <c r="G490" s="457"/>
    </row>
    <row r="491" spans="6:7" x14ac:dyDescent="0.2">
      <c r="F491" s="185"/>
      <c r="G491" s="457"/>
    </row>
    <row r="492" spans="6:7" x14ac:dyDescent="0.2">
      <c r="F492" s="185"/>
      <c r="G492" s="457"/>
    </row>
    <row r="493" spans="6:7" x14ac:dyDescent="0.2">
      <c r="F493" s="185"/>
      <c r="G493" s="457"/>
    </row>
    <row r="494" spans="6:7" x14ac:dyDescent="0.2">
      <c r="F494" s="185"/>
      <c r="G494" s="457"/>
    </row>
    <row r="495" spans="6:7" x14ac:dyDescent="0.2">
      <c r="F495" s="185"/>
      <c r="G495" s="457"/>
    </row>
    <row r="496" spans="6:7" x14ac:dyDescent="0.2">
      <c r="F496" s="185"/>
      <c r="G496" s="457"/>
    </row>
    <row r="497" spans="6:7" x14ac:dyDescent="0.2">
      <c r="F497" s="185"/>
      <c r="G497" s="457"/>
    </row>
    <row r="498" spans="6:7" x14ac:dyDescent="0.2">
      <c r="F498" s="185"/>
      <c r="G498" s="457"/>
    </row>
    <row r="499" spans="6:7" x14ac:dyDescent="0.2">
      <c r="F499" s="185"/>
      <c r="G499" s="457"/>
    </row>
    <row r="500" spans="6:7" x14ac:dyDescent="0.2">
      <c r="F500" s="185"/>
      <c r="G500" s="457"/>
    </row>
    <row r="501" spans="6:7" x14ac:dyDescent="0.2">
      <c r="F501" s="185"/>
      <c r="G501" s="457"/>
    </row>
    <row r="502" spans="6:7" x14ac:dyDescent="0.2">
      <c r="F502" s="185"/>
      <c r="G502" s="457"/>
    </row>
    <row r="503" spans="6:7" x14ac:dyDescent="0.2">
      <c r="F503" s="185"/>
      <c r="G503" s="457"/>
    </row>
    <row r="504" spans="6:7" x14ac:dyDescent="0.2">
      <c r="F504" s="185"/>
      <c r="G504" s="457"/>
    </row>
    <row r="505" spans="6:7" x14ac:dyDescent="0.2">
      <c r="F505" s="185"/>
      <c r="G505" s="457"/>
    </row>
    <row r="506" spans="6:7" x14ac:dyDescent="0.2">
      <c r="F506" s="185"/>
      <c r="G506" s="457"/>
    </row>
    <row r="507" spans="6:7" x14ac:dyDescent="0.2">
      <c r="F507" s="185"/>
      <c r="G507" s="457"/>
    </row>
    <row r="508" spans="6:7" x14ac:dyDescent="0.2">
      <c r="F508" s="185"/>
      <c r="G508" s="457"/>
    </row>
    <row r="509" spans="6:7" x14ac:dyDescent="0.2">
      <c r="F509" s="185"/>
      <c r="G509" s="457"/>
    </row>
    <row r="510" spans="6:7" x14ac:dyDescent="0.2">
      <c r="F510" s="185"/>
      <c r="G510" s="457"/>
    </row>
    <row r="511" spans="6:7" x14ac:dyDescent="0.2">
      <c r="F511" s="185"/>
      <c r="G511" s="457"/>
    </row>
    <row r="512" spans="6:7" x14ac:dyDescent="0.2">
      <c r="F512" s="185"/>
      <c r="G512" s="457"/>
    </row>
    <row r="513" spans="6:7" x14ac:dyDescent="0.2">
      <c r="F513" s="185"/>
      <c r="G513" s="457"/>
    </row>
    <row r="514" spans="6:7" x14ac:dyDescent="0.2">
      <c r="F514" s="185"/>
      <c r="G514" s="457"/>
    </row>
    <row r="515" spans="6:7" x14ac:dyDescent="0.2">
      <c r="F515" s="185"/>
      <c r="G515" s="457"/>
    </row>
    <row r="516" spans="6:7" x14ac:dyDescent="0.2">
      <c r="F516" s="185"/>
      <c r="G516" s="457"/>
    </row>
    <row r="517" spans="6:7" x14ac:dyDescent="0.2">
      <c r="F517" s="185"/>
      <c r="G517" s="457"/>
    </row>
    <row r="518" spans="6:7" x14ac:dyDescent="0.2">
      <c r="F518" s="185"/>
      <c r="G518" s="457"/>
    </row>
    <row r="519" spans="6:7" x14ac:dyDescent="0.2">
      <c r="F519" s="185"/>
      <c r="G519" s="457"/>
    </row>
    <row r="520" spans="6:7" x14ac:dyDescent="0.2">
      <c r="F520" s="185"/>
      <c r="G520" s="457"/>
    </row>
    <row r="521" spans="6:7" x14ac:dyDescent="0.2">
      <c r="F521" s="185"/>
      <c r="G521" s="457"/>
    </row>
    <row r="522" spans="6:7" x14ac:dyDescent="0.2">
      <c r="F522" s="185"/>
      <c r="G522" s="457"/>
    </row>
    <row r="523" spans="6:7" x14ac:dyDescent="0.2">
      <c r="F523" s="185"/>
      <c r="G523" s="457"/>
    </row>
    <row r="524" spans="6:7" x14ac:dyDescent="0.2">
      <c r="F524" s="185"/>
      <c r="G524" s="457"/>
    </row>
    <row r="525" spans="6:7" x14ac:dyDescent="0.2">
      <c r="F525" s="185"/>
      <c r="G525" s="457"/>
    </row>
    <row r="526" spans="6:7" x14ac:dyDescent="0.2">
      <c r="F526" s="185"/>
      <c r="G526" s="457"/>
    </row>
    <row r="527" spans="6:7" x14ac:dyDescent="0.2">
      <c r="F527" s="185"/>
      <c r="G527" s="457"/>
    </row>
    <row r="528" spans="6:7" x14ac:dyDescent="0.2">
      <c r="F528" s="185"/>
      <c r="G528" s="457"/>
    </row>
    <row r="529" spans="6:7" x14ac:dyDescent="0.2">
      <c r="F529" s="185"/>
      <c r="G529" s="457"/>
    </row>
    <row r="530" spans="6:7" x14ac:dyDescent="0.2">
      <c r="F530" s="185"/>
      <c r="G530" s="457"/>
    </row>
    <row r="531" spans="6:7" x14ac:dyDescent="0.2">
      <c r="F531" s="185"/>
      <c r="G531" s="457"/>
    </row>
    <row r="532" spans="6:7" x14ac:dyDescent="0.2">
      <c r="F532" s="185"/>
      <c r="G532" s="457"/>
    </row>
    <row r="533" spans="6:7" x14ac:dyDescent="0.2">
      <c r="F533" s="185"/>
      <c r="G533" s="457"/>
    </row>
    <row r="534" spans="6:7" x14ac:dyDescent="0.2">
      <c r="F534" s="185"/>
      <c r="G534" s="457"/>
    </row>
    <row r="535" spans="6:7" x14ac:dyDescent="0.2">
      <c r="F535" s="185"/>
      <c r="G535" s="457"/>
    </row>
    <row r="536" spans="6:7" x14ac:dyDescent="0.2">
      <c r="F536" s="185"/>
      <c r="G536" s="457"/>
    </row>
    <row r="537" spans="6:7" x14ac:dyDescent="0.2">
      <c r="F537" s="185"/>
      <c r="G537" s="457"/>
    </row>
    <row r="538" spans="6:7" x14ac:dyDescent="0.2">
      <c r="F538" s="185"/>
      <c r="G538" s="457"/>
    </row>
    <row r="539" spans="6:7" x14ac:dyDescent="0.2">
      <c r="F539" s="185"/>
      <c r="G539" s="457"/>
    </row>
    <row r="540" spans="6:7" x14ac:dyDescent="0.2">
      <c r="F540" s="185"/>
      <c r="G540" s="457"/>
    </row>
    <row r="541" spans="6:7" x14ac:dyDescent="0.2">
      <c r="F541" s="185"/>
      <c r="G541" s="457"/>
    </row>
    <row r="542" spans="6:7" x14ac:dyDescent="0.2">
      <c r="F542" s="185"/>
      <c r="G542" s="457"/>
    </row>
    <row r="543" spans="6:7" x14ac:dyDescent="0.2">
      <c r="F543" s="185"/>
      <c r="G543" s="457"/>
    </row>
    <row r="544" spans="6:7" x14ac:dyDescent="0.2">
      <c r="F544" s="185"/>
      <c r="G544" s="457"/>
    </row>
    <row r="545" spans="6:7" x14ac:dyDescent="0.2">
      <c r="F545" s="185"/>
      <c r="G545" s="457"/>
    </row>
    <row r="546" spans="6:7" x14ac:dyDescent="0.2">
      <c r="F546" s="185"/>
      <c r="G546" s="457"/>
    </row>
    <row r="547" spans="6:7" x14ac:dyDescent="0.2">
      <c r="F547" s="185"/>
      <c r="G547" s="457"/>
    </row>
    <row r="548" spans="6:7" x14ac:dyDescent="0.2">
      <c r="F548" s="185"/>
      <c r="G548" s="457"/>
    </row>
    <row r="549" spans="6:7" x14ac:dyDescent="0.2">
      <c r="F549" s="185"/>
      <c r="G549" s="457"/>
    </row>
    <row r="550" spans="6:7" x14ac:dyDescent="0.2">
      <c r="F550" s="185"/>
      <c r="G550" s="457"/>
    </row>
    <row r="551" spans="6:7" x14ac:dyDescent="0.2">
      <c r="F551" s="185"/>
      <c r="G551" s="457"/>
    </row>
    <row r="552" spans="6:7" x14ac:dyDescent="0.2">
      <c r="F552" s="185"/>
      <c r="G552" s="457"/>
    </row>
    <row r="553" spans="6:7" x14ac:dyDescent="0.2">
      <c r="F553" s="185"/>
      <c r="G553" s="457"/>
    </row>
    <row r="554" spans="6:7" x14ac:dyDescent="0.2">
      <c r="F554" s="185"/>
      <c r="G554" s="457"/>
    </row>
    <row r="555" spans="6:7" x14ac:dyDescent="0.2">
      <c r="F555" s="185"/>
      <c r="G555" s="457"/>
    </row>
    <row r="556" spans="6:7" x14ac:dyDescent="0.2">
      <c r="F556" s="185"/>
      <c r="G556" s="457"/>
    </row>
    <row r="557" spans="6:7" x14ac:dyDescent="0.2">
      <c r="F557" s="185"/>
      <c r="G557" s="457"/>
    </row>
    <row r="558" spans="6:7" x14ac:dyDescent="0.2">
      <c r="F558" s="185"/>
      <c r="G558" s="457"/>
    </row>
    <row r="559" spans="6:7" x14ac:dyDescent="0.2">
      <c r="F559" s="185"/>
      <c r="G559" s="457"/>
    </row>
    <row r="560" spans="6:7" x14ac:dyDescent="0.2">
      <c r="F560" s="185"/>
      <c r="G560" s="457"/>
    </row>
    <row r="561" spans="6:7" x14ac:dyDescent="0.2">
      <c r="F561" s="185"/>
      <c r="G561" s="457"/>
    </row>
    <row r="562" spans="6:7" x14ac:dyDescent="0.2">
      <c r="F562" s="185"/>
      <c r="G562" s="457"/>
    </row>
    <row r="563" spans="6:7" x14ac:dyDescent="0.2">
      <c r="F563" s="185"/>
      <c r="G563" s="457"/>
    </row>
    <row r="564" spans="6:7" x14ac:dyDescent="0.2">
      <c r="F564" s="185"/>
      <c r="G564" s="457"/>
    </row>
    <row r="565" spans="6:7" x14ac:dyDescent="0.2">
      <c r="F565" s="185"/>
      <c r="G565" s="457"/>
    </row>
    <row r="566" spans="6:7" x14ac:dyDescent="0.2">
      <c r="F566" s="185"/>
      <c r="G566" s="457"/>
    </row>
    <row r="567" spans="6:7" x14ac:dyDescent="0.2">
      <c r="F567" s="185"/>
      <c r="G567" s="457"/>
    </row>
    <row r="568" spans="6:7" x14ac:dyDescent="0.2">
      <c r="F568" s="185"/>
      <c r="G568" s="457"/>
    </row>
    <row r="569" spans="6:7" x14ac:dyDescent="0.2">
      <c r="F569" s="185"/>
      <c r="G569" s="457"/>
    </row>
    <row r="570" spans="6:7" x14ac:dyDescent="0.2">
      <c r="F570" s="185"/>
      <c r="G570" s="457"/>
    </row>
    <row r="571" spans="6:7" x14ac:dyDescent="0.2">
      <c r="F571" s="185"/>
      <c r="G571" s="457"/>
    </row>
    <row r="572" spans="6:7" x14ac:dyDescent="0.2">
      <c r="F572" s="185"/>
      <c r="G572" s="457"/>
    </row>
    <row r="573" spans="6:7" x14ac:dyDescent="0.2">
      <c r="F573" s="185"/>
      <c r="G573" s="457"/>
    </row>
    <row r="574" spans="6:7" x14ac:dyDescent="0.2">
      <c r="F574" s="185"/>
      <c r="G574" s="457"/>
    </row>
    <row r="575" spans="6:7" x14ac:dyDescent="0.2">
      <c r="F575" s="185"/>
      <c r="G575" s="457"/>
    </row>
    <row r="576" spans="6:7" x14ac:dyDescent="0.2">
      <c r="F576" s="185"/>
      <c r="G576" s="457"/>
    </row>
    <row r="577" spans="6:7" x14ac:dyDescent="0.2">
      <c r="F577" s="185"/>
      <c r="G577" s="457"/>
    </row>
    <row r="578" spans="6:7" x14ac:dyDescent="0.2">
      <c r="F578" s="185"/>
      <c r="G578" s="457"/>
    </row>
    <row r="579" spans="6:7" x14ac:dyDescent="0.2">
      <c r="F579" s="185"/>
      <c r="G579" s="457"/>
    </row>
    <row r="580" spans="6:7" x14ac:dyDescent="0.2">
      <c r="F580" s="185"/>
      <c r="G580" s="457"/>
    </row>
    <row r="581" spans="6:7" x14ac:dyDescent="0.2">
      <c r="F581" s="185"/>
      <c r="G581" s="457"/>
    </row>
    <row r="582" spans="6:7" x14ac:dyDescent="0.2">
      <c r="F582" s="185"/>
      <c r="G582" s="457"/>
    </row>
    <row r="583" spans="6:7" x14ac:dyDescent="0.2">
      <c r="F583" s="185"/>
      <c r="G583" s="457"/>
    </row>
    <row r="584" spans="6:7" x14ac:dyDescent="0.2">
      <c r="F584" s="185"/>
      <c r="G584" s="457"/>
    </row>
    <row r="585" spans="6:7" x14ac:dyDescent="0.2">
      <c r="F585" s="185"/>
      <c r="G585" s="457"/>
    </row>
    <row r="586" spans="6:7" x14ac:dyDescent="0.2">
      <c r="F586" s="185"/>
      <c r="G586" s="457"/>
    </row>
    <row r="587" spans="6:7" x14ac:dyDescent="0.2">
      <c r="F587" s="185"/>
      <c r="G587" s="457"/>
    </row>
    <row r="588" spans="6:7" x14ac:dyDescent="0.2">
      <c r="F588" s="185"/>
      <c r="G588" s="457"/>
    </row>
    <row r="589" spans="6:7" x14ac:dyDescent="0.2">
      <c r="F589" s="185"/>
      <c r="G589" s="457"/>
    </row>
    <row r="590" spans="6:7" x14ac:dyDescent="0.2">
      <c r="F590" s="185"/>
      <c r="G590" s="457"/>
    </row>
    <row r="591" spans="6:7" x14ac:dyDescent="0.2">
      <c r="F591" s="185"/>
      <c r="G591" s="457"/>
    </row>
    <row r="592" spans="6:7" x14ac:dyDescent="0.2">
      <c r="F592" s="185"/>
      <c r="G592" s="457"/>
    </row>
    <row r="593" spans="6:7" x14ac:dyDescent="0.2">
      <c r="F593" s="185"/>
      <c r="G593" s="457"/>
    </row>
    <row r="594" spans="6:7" x14ac:dyDescent="0.2">
      <c r="F594" s="185"/>
      <c r="G594" s="457"/>
    </row>
    <row r="595" spans="6:7" x14ac:dyDescent="0.2">
      <c r="F595" s="185"/>
      <c r="G595" s="457"/>
    </row>
    <row r="596" spans="6:7" x14ac:dyDescent="0.2">
      <c r="F596" s="185"/>
      <c r="G596" s="457"/>
    </row>
    <row r="597" spans="6:7" x14ac:dyDescent="0.2">
      <c r="F597" s="185"/>
      <c r="G597" s="457"/>
    </row>
    <row r="598" spans="6:7" x14ac:dyDescent="0.2">
      <c r="F598" s="185"/>
      <c r="G598" s="457"/>
    </row>
    <row r="599" spans="6:7" x14ac:dyDescent="0.2">
      <c r="F599" s="185"/>
      <c r="G599" s="457"/>
    </row>
    <row r="600" spans="6:7" x14ac:dyDescent="0.2">
      <c r="F600" s="185"/>
      <c r="G600" s="457"/>
    </row>
    <row r="601" spans="6:7" x14ac:dyDescent="0.2">
      <c r="F601" s="185"/>
      <c r="G601" s="457"/>
    </row>
    <row r="602" spans="6:7" x14ac:dyDescent="0.2">
      <c r="F602" s="185"/>
      <c r="G602" s="457"/>
    </row>
    <row r="603" spans="6:7" x14ac:dyDescent="0.2">
      <c r="F603" s="185"/>
      <c r="G603" s="457"/>
    </row>
    <row r="604" spans="6:7" x14ac:dyDescent="0.2">
      <c r="F604" s="185"/>
      <c r="G604" s="457"/>
    </row>
    <row r="605" spans="6:7" x14ac:dyDescent="0.2">
      <c r="F605" s="185"/>
      <c r="G605" s="457"/>
    </row>
    <row r="606" spans="6:7" x14ac:dyDescent="0.2">
      <c r="F606" s="185"/>
      <c r="G606" s="457"/>
    </row>
    <row r="607" spans="6:7" x14ac:dyDescent="0.2">
      <c r="F607" s="185"/>
      <c r="G607" s="457"/>
    </row>
    <row r="608" spans="6:7" x14ac:dyDescent="0.2">
      <c r="F608" s="185"/>
      <c r="G608" s="457"/>
    </row>
    <row r="609" spans="6:7" x14ac:dyDescent="0.2">
      <c r="F609" s="185"/>
      <c r="G609" s="457"/>
    </row>
    <row r="610" spans="6:7" x14ac:dyDescent="0.2">
      <c r="F610" s="185"/>
      <c r="G610" s="457"/>
    </row>
    <row r="611" spans="6:7" x14ac:dyDescent="0.2">
      <c r="F611" s="185"/>
      <c r="G611" s="457"/>
    </row>
    <row r="612" spans="6:7" x14ac:dyDescent="0.2">
      <c r="F612" s="185"/>
      <c r="G612" s="457"/>
    </row>
    <row r="613" spans="6:7" x14ac:dyDescent="0.2">
      <c r="F613" s="185"/>
      <c r="G613" s="457"/>
    </row>
    <row r="614" spans="6:7" x14ac:dyDescent="0.2">
      <c r="F614" s="185"/>
      <c r="G614" s="457"/>
    </row>
    <row r="615" spans="6:7" x14ac:dyDescent="0.2">
      <c r="F615" s="185"/>
      <c r="G615" s="457"/>
    </row>
    <row r="616" spans="6:7" x14ac:dyDescent="0.2">
      <c r="F616" s="185"/>
      <c r="G616" s="457"/>
    </row>
    <row r="617" spans="6:7" x14ac:dyDescent="0.2">
      <c r="F617" s="185"/>
      <c r="G617" s="457"/>
    </row>
    <row r="618" spans="6:7" x14ac:dyDescent="0.2">
      <c r="F618" s="185"/>
      <c r="G618" s="457"/>
    </row>
    <row r="619" spans="6:7" x14ac:dyDescent="0.2">
      <c r="F619" s="185"/>
      <c r="G619" s="457"/>
    </row>
    <row r="620" spans="6:7" x14ac:dyDescent="0.2">
      <c r="F620" s="185"/>
      <c r="G620" s="457"/>
    </row>
    <row r="621" spans="6:7" x14ac:dyDescent="0.2">
      <c r="F621" s="185"/>
      <c r="G621" s="457"/>
    </row>
    <row r="622" spans="6:7" x14ac:dyDescent="0.2">
      <c r="F622" s="185"/>
      <c r="G622" s="457"/>
    </row>
    <row r="623" spans="6:7" x14ac:dyDescent="0.2">
      <c r="F623" s="185"/>
      <c r="G623" s="457"/>
    </row>
    <row r="624" spans="6:7" x14ac:dyDescent="0.2">
      <c r="F624" s="185"/>
      <c r="G624" s="457"/>
    </row>
    <row r="625" spans="6:7" x14ac:dyDescent="0.2">
      <c r="F625" s="185"/>
      <c r="G625" s="457"/>
    </row>
    <row r="626" spans="6:7" x14ac:dyDescent="0.2">
      <c r="F626" s="185"/>
      <c r="G626" s="457"/>
    </row>
    <row r="627" spans="6:7" x14ac:dyDescent="0.2">
      <c r="F627" s="185"/>
      <c r="G627" s="457"/>
    </row>
    <row r="628" spans="6:7" x14ac:dyDescent="0.2">
      <c r="F628" s="185"/>
      <c r="G628" s="457"/>
    </row>
    <row r="629" spans="6:7" x14ac:dyDescent="0.2">
      <c r="F629" s="185"/>
      <c r="G629" s="457"/>
    </row>
    <row r="630" spans="6:7" x14ac:dyDescent="0.2">
      <c r="F630" s="185"/>
      <c r="G630" s="457"/>
    </row>
    <row r="631" spans="6:7" x14ac:dyDescent="0.2">
      <c r="F631" s="185"/>
      <c r="G631" s="457"/>
    </row>
    <row r="632" spans="6:7" x14ac:dyDescent="0.2">
      <c r="F632" s="185"/>
      <c r="G632" s="457"/>
    </row>
    <row r="633" spans="6:7" x14ac:dyDescent="0.2">
      <c r="F633" s="185"/>
      <c r="G633" s="457"/>
    </row>
    <row r="634" spans="6:7" x14ac:dyDescent="0.2">
      <c r="F634" s="185"/>
      <c r="G634" s="457"/>
    </row>
    <row r="635" spans="6:7" x14ac:dyDescent="0.2">
      <c r="F635" s="185"/>
      <c r="G635" s="457"/>
    </row>
    <row r="636" spans="6:7" x14ac:dyDescent="0.2">
      <c r="F636" s="185"/>
      <c r="G636" s="457"/>
    </row>
    <row r="637" spans="6:7" x14ac:dyDescent="0.2">
      <c r="F637" s="185"/>
      <c r="G637" s="457"/>
    </row>
    <row r="638" spans="6:7" x14ac:dyDescent="0.2">
      <c r="F638" s="185"/>
      <c r="G638" s="457"/>
    </row>
    <row r="639" spans="6:7" x14ac:dyDescent="0.2">
      <c r="F639" s="185"/>
      <c r="G639" s="457"/>
    </row>
    <row r="640" spans="6:7" x14ac:dyDescent="0.2">
      <c r="F640" s="185"/>
      <c r="G640" s="457"/>
    </row>
    <row r="641" spans="6:7" x14ac:dyDescent="0.2">
      <c r="F641" s="185"/>
      <c r="G641" s="457"/>
    </row>
    <row r="642" spans="6:7" x14ac:dyDescent="0.2">
      <c r="F642" s="185"/>
      <c r="G642" s="457"/>
    </row>
    <row r="643" spans="6:7" x14ac:dyDescent="0.2">
      <c r="F643" s="185"/>
      <c r="G643" s="457"/>
    </row>
    <row r="644" spans="6:7" x14ac:dyDescent="0.2">
      <c r="F644" s="185"/>
      <c r="G644" s="457"/>
    </row>
    <row r="645" spans="6:7" x14ac:dyDescent="0.2">
      <c r="F645" s="185"/>
      <c r="G645" s="457"/>
    </row>
    <row r="646" spans="6:7" x14ac:dyDescent="0.2">
      <c r="F646" s="185"/>
      <c r="G646" s="457"/>
    </row>
    <row r="647" spans="6:7" x14ac:dyDescent="0.2">
      <c r="F647" s="185"/>
      <c r="G647" s="457"/>
    </row>
    <row r="648" spans="6:7" x14ac:dyDescent="0.2">
      <c r="F648" s="185"/>
      <c r="G648" s="457"/>
    </row>
    <row r="649" spans="6:7" x14ac:dyDescent="0.2">
      <c r="F649" s="185"/>
      <c r="G649" s="457"/>
    </row>
    <row r="650" spans="6:7" x14ac:dyDescent="0.2">
      <c r="F650" s="185"/>
      <c r="G650" s="457"/>
    </row>
    <row r="651" spans="6:7" x14ac:dyDescent="0.2">
      <c r="F651" s="185"/>
      <c r="G651" s="457"/>
    </row>
    <row r="652" spans="6:7" x14ac:dyDescent="0.2">
      <c r="F652" s="185"/>
      <c r="G652" s="457"/>
    </row>
    <row r="653" spans="6:7" x14ac:dyDescent="0.2">
      <c r="F653" s="185"/>
      <c r="G653" s="457"/>
    </row>
    <row r="654" spans="6:7" x14ac:dyDescent="0.2">
      <c r="F654" s="185"/>
      <c r="G654" s="457"/>
    </row>
    <row r="655" spans="6:7" x14ac:dyDescent="0.2">
      <c r="F655" s="185"/>
      <c r="G655" s="457"/>
    </row>
    <row r="656" spans="6:7" x14ac:dyDescent="0.2">
      <c r="F656" s="185"/>
      <c r="G656" s="457"/>
    </row>
    <row r="657" spans="6:7" x14ac:dyDescent="0.2">
      <c r="F657" s="185"/>
      <c r="G657" s="457"/>
    </row>
    <row r="658" spans="6:7" x14ac:dyDescent="0.2">
      <c r="F658" s="185"/>
      <c r="G658" s="457"/>
    </row>
    <row r="659" spans="6:7" x14ac:dyDescent="0.2">
      <c r="F659" s="185"/>
      <c r="G659" s="457"/>
    </row>
    <row r="660" spans="6:7" x14ac:dyDescent="0.2">
      <c r="F660" s="185"/>
      <c r="G660" s="457"/>
    </row>
    <row r="661" spans="6:7" x14ac:dyDescent="0.2">
      <c r="F661" s="185"/>
      <c r="G661" s="457"/>
    </row>
    <row r="662" spans="6:7" x14ac:dyDescent="0.2">
      <c r="F662" s="185"/>
      <c r="G662" s="457"/>
    </row>
    <row r="663" spans="6:7" x14ac:dyDescent="0.2">
      <c r="F663" s="185"/>
      <c r="G663" s="457"/>
    </row>
    <row r="664" spans="6:7" x14ac:dyDescent="0.2">
      <c r="F664" s="185"/>
      <c r="G664" s="457"/>
    </row>
    <row r="665" spans="6:7" x14ac:dyDescent="0.2">
      <c r="F665" s="185"/>
      <c r="G665" s="457"/>
    </row>
    <row r="666" spans="6:7" x14ac:dyDescent="0.2">
      <c r="F666" s="185"/>
      <c r="G666" s="457"/>
    </row>
    <row r="667" spans="6:7" x14ac:dyDescent="0.2">
      <c r="F667" s="185"/>
      <c r="G667" s="457"/>
    </row>
    <row r="668" spans="6:7" x14ac:dyDescent="0.2">
      <c r="F668" s="185"/>
      <c r="G668" s="457"/>
    </row>
    <row r="669" spans="6:7" x14ac:dyDescent="0.2">
      <c r="F669" s="185"/>
      <c r="G669" s="457"/>
    </row>
    <row r="670" spans="6:7" x14ac:dyDescent="0.2">
      <c r="F670" s="185"/>
      <c r="G670" s="457"/>
    </row>
    <row r="671" spans="6:7" x14ac:dyDescent="0.2">
      <c r="F671" s="185"/>
      <c r="G671" s="457"/>
    </row>
    <row r="672" spans="6:7" x14ac:dyDescent="0.2">
      <c r="F672" s="185"/>
      <c r="G672" s="457"/>
    </row>
    <row r="673" spans="6:7" x14ac:dyDescent="0.2">
      <c r="F673" s="185"/>
      <c r="G673" s="457"/>
    </row>
    <row r="674" spans="6:7" x14ac:dyDescent="0.2">
      <c r="F674" s="185"/>
      <c r="G674" s="457"/>
    </row>
    <row r="675" spans="6:7" x14ac:dyDescent="0.2">
      <c r="F675" s="185"/>
      <c r="G675" s="457"/>
    </row>
    <row r="676" spans="6:7" x14ac:dyDescent="0.2">
      <c r="F676" s="185"/>
      <c r="G676" s="457"/>
    </row>
    <row r="677" spans="6:7" x14ac:dyDescent="0.2">
      <c r="F677" s="185"/>
      <c r="G677" s="457"/>
    </row>
    <row r="678" spans="6:7" x14ac:dyDescent="0.2">
      <c r="F678" s="185"/>
      <c r="G678" s="457"/>
    </row>
    <row r="679" spans="6:7" x14ac:dyDescent="0.2">
      <c r="F679" s="185"/>
      <c r="G679" s="457"/>
    </row>
    <row r="680" spans="6:7" x14ac:dyDescent="0.2">
      <c r="F680" s="185"/>
      <c r="G680" s="457"/>
    </row>
    <row r="681" spans="6:7" x14ac:dyDescent="0.2">
      <c r="F681" s="185"/>
      <c r="G681" s="457"/>
    </row>
    <row r="682" spans="6:7" x14ac:dyDescent="0.2">
      <c r="F682" s="185"/>
      <c r="G682" s="457"/>
    </row>
    <row r="683" spans="6:7" x14ac:dyDescent="0.2">
      <c r="F683" s="185"/>
      <c r="G683" s="457"/>
    </row>
    <row r="684" spans="6:7" x14ac:dyDescent="0.2">
      <c r="F684" s="185"/>
      <c r="G684" s="457"/>
    </row>
    <row r="685" spans="6:7" x14ac:dyDescent="0.2">
      <c r="F685" s="185"/>
      <c r="G685" s="457"/>
    </row>
    <row r="686" spans="6:7" x14ac:dyDescent="0.2">
      <c r="F686" s="185"/>
      <c r="G686" s="457"/>
    </row>
    <row r="687" spans="6:7" x14ac:dyDescent="0.2">
      <c r="F687" s="185"/>
      <c r="G687" s="457"/>
    </row>
    <row r="688" spans="6:7" x14ac:dyDescent="0.2">
      <c r="F688" s="185"/>
      <c r="G688" s="457"/>
    </row>
    <row r="689" spans="6:7" x14ac:dyDescent="0.2">
      <c r="F689" s="185"/>
      <c r="G689" s="457"/>
    </row>
    <row r="690" spans="6:7" x14ac:dyDescent="0.2">
      <c r="F690" s="185"/>
      <c r="G690" s="457"/>
    </row>
    <row r="691" spans="6:7" x14ac:dyDescent="0.2">
      <c r="F691" s="185"/>
      <c r="G691" s="457"/>
    </row>
    <row r="692" spans="6:7" x14ac:dyDescent="0.2">
      <c r="F692" s="185"/>
      <c r="G692" s="457"/>
    </row>
    <row r="693" spans="6:7" x14ac:dyDescent="0.2">
      <c r="F693" s="185"/>
      <c r="G693" s="457"/>
    </row>
    <row r="694" spans="6:7" x14ac:dyDescent="0.2">
      <c r="F694" s="185"/>
      <c r="G694" s="457"/>
    </row>
    <row r="695" spans="6:7" x14ac:dyDescent="0.2">
      <c r="F695" s="185"/>
      <c r="G695" s="457"/>
    </row>
    <row r="696" spans="6:7" x14ac:dyDescent="0.2">
      <c r="F696" s="185"/>
      <c r="G696" s="457"/>
    </row>
    <row r="697" spans="6:7" x14ac:dyDescent="0.2">
      <c r="F697" s="185"/>
      <c r="G697" s="457"/>
    </row>
    <row r="698" spans="6:7" x14ac:dyDescent="0.2">
      <c r="F698" s="185"/>
      <c r="G698" s="457"/>
    </row>
    <row r="699" spans="6:7" x14ac:dyDescent="0.2">
      <c r="F699" s="185"/>
      <c r="G699" s="457"/>
    </row>
    <row r="700" spans="6:7" x14ac:dyDescent="0.2">
      <c r="F700" s="185"/>
      <c r="G700" s="457"/>
    </row>
    <row r="701" spans="6:7" x14ac:dyDescent="0.2">
      <c r="F701" s="185"/>
      <c r="G701" s="457"/>
    </row>
    <row r="702" spans="6:7" x14ac:dyDescent="0.2">
      <c r="F702" s="185"/>
      <c r="G702" s="457"/>
    </row>
    <row r="703" spans="6:7" x14ac:dyDescent="0.2">
      <c r="F703" s="185"/>
      <c r="G703" s="457"/>
    </row>
    <row r="704" spans="6:7" x14ac:dyDescent="0.2">
      <c r="F704" s="185"/>
      <c r="G704" s="457"/>
    </row>
    <row r="705" spans="6:7" x14ac:dyDescent="0.2">
      <c r="F705" s="185"/>
      <c r="G705" s="457"/>
    </row>
    <row r="706" spans="6:7" x14ac:dyDescent="0.2">
      <c r="F706" s="185"/>
      <c r="G706" s="457"/>
    </row>
    <row r="707" spans="6:7" x14ac:dyDescent="0.2">
      <c r="F707" s="185"/>
      <c r="G707" s="457"/>
    </row>
    <row r="708" spans="6:7" x14ac:dyDescent="0.2">
      <c r="F708" s="185"/>
      <c r="G708" s="457"/>
    </row>
    <row r="709" spans="6:7" x14ac:dyDescent="0.2">
      <c r="F709" s="185"/>
      <c r="G709" s="457"/>
    </row>
    <row r="710" spans="6:7" x14ac:dyDescent="0.2">
      <c r="F710" s="185"/>
      <c r="G710" s="457"/>
    </row>
    <row r="711" spans="6:7" x14ac:dyDescent="0.2">
      <c r="F711" s="185"/>
      <c r="G711" s="457"/>
    </row>
    <row r="712" spans="6:7" x14ac:dyDescent="0.2">
      <c r="F712" s="185"/>
      <c r="G712" s="457"/>
    </row>
    <row r="713" spans="6:7" x14ac:dyDescent="0.2">
      <c r="F713" s="185"/>
      <c r="G713" s="457"/>
    </row>
    <row r="714" spans="6:7" x14ac:dyDescent="0.2">
      <c r="F714" s="185"/>
      <c r="G714" s="457"/>
    </row>
    <row r="715" spans="6:7" x14ac:dyDescent="0.2">
      <c r="F715" s="185"/>
      <c r="G715" s="457"/>
    </row>
    <row r="716" spans="6:7" x14ac:dyDescent="0.2">
      <c r="F716" s="185"/>
      <c r="G716" s="457"/>
    </row>
    <row r="717" spans="6:7" x14ac:dyDescent="0.2">
      <c r="F717" s="185"/>
      <c r="G717" s="457"/>
    </row>
    <row r="718" spans="6:7" x14ac:dyDescent="0.2">
      <c r="F718" s="185"/>
      <c r="G718" s="457"/>
    </row>
    <row r="719" spans="6:7" x14ac:dyDescent="0.2">
      <c r="F719" s="185"/>
      <c r="G719" s="457"/>
    </row>
    <row r="720" spans="6:7" x14ac:dyDescent="0.2">
      <c r="F720" s="185"/>
      <c r="G720" s="457"/>
    </row>
    <row r="721" spans="6:7" x14ac:dyDescent="0.2">
      <c r="F721" s="185"/>
      <c r="G721" s="457"/>
    </row>
    <row r="722" spans="6:7" x14ac:dyDescent="0.2">
      <c r="F722" s="185"/>
      <c r="G722" s="457"/>
    </row>
    <row r="723" spans="6:7" x14ac:dyDescent="0.2">
      <c r="F723" s="185"/>
      <c r="G723" s="457"/>
    </row>
    <row r="724" spans="6:7" x14ac:dyDescent="0.2">
      <c r="F724" s="185"/>
      <c r="G724" s="457"/>
    </row>
    <row r="725" spans="6:7" x14ac:dyDescent="0.2">
      <c r="F725" s="185"/>
      <c r="G725" s="457"/>
    </row>
    <row r="726" spans="6:7" x14ac:dyDescent="0.2">
      <c r="F726" s="185"/>
      <c r="G726" s="457"/>
    </row>
    <row r="727" spans="6:7" x14ac:dyDescent="0.2">
      <c r="F727" s="185"/>
      <c r="G727" s="457"/>
    </row>
    <row r="728" spans="6:7" x14ac:dyDescent="0.2">
      <c r="F728" s="185"/>
      <c r="G728" s="457"/>
    </row>
    <row r="729" spans="6:7" x14ac:dyDescent="0.2">
      <c r="F729" s="185"/>
      <c r="G729" s="457"/>
    </row>
    <row r="730" spans="6:7" x14ac:dyDescent="0.2">
      <c r="F730" s="185"/>
      <c r="G730" s="457"/>
    </row>
    <row r="731" spans="6:7" x14ac:dyDescent="0.2">
      <c r="F731" s="185"/>
      <c r="G731" s="457"/>
    </row>
    <row r="732" spans="6:7" x14ac:dyDescent="0.2">
      <c r="F732" s="185"/>
      <c r="G732" s="457"/>
    </row>
    <row r="733" spans="6:7" x14ac:dyDescent="0.2">
      <c r="F733" s="185"/>
      <c r="G733" s="457"/>
    </row>
    <row r="734" spans="6:7" x14ac:dyDescent="0.2">
      <c r="F734" s="185"/>
      <c r="G734" s="457"/>
    </row>
    <row r="735" spans="6:7" x14ac:dyDescent="0.2">
      <c r="F735" s="185"/>
      <c r="G735" s="457"/>
    </row>
    <row r="736" spans="6:7" x14ac:dyDescent="0.2">
      <c r="F736" s="185"/>
      <c r="G736" s="457"/>
    </row>
    <row r="737" spans="6:7" x14ac:dyDescent="0.2">
      <c r="F737" s="185"/>
      <c r="G737" s="457"/>
    </row>
    <row r="738" spans="6:7" x14ac:dyDescent="0.2">
      <c r="F738" s="185"/>
      <c r="G738" s="457"/>
    </row>
    <row r="739" spans="6:7" x14ac:dyDescent="0.2">
      <c r="F739" s="185"/>
      <c r="G739" s="457"/>
    </row>
    <row r="740" spans="6:7" x14ac:dyDescent="0.2">
      <c r="F740" s="185"/>
      <c r="G740" s="457"/>
    </row>
    <row r="741" spans="6:7" x14ac:dyDescent="0.2">
      <c r="F741" s="185"/>
      <c r="G741" s="457"/>
    </row>
    <row r="742" spans="6:7" x14ac:dyDescent="0.2">
      <c r="F742" s="185"/>
      <c r="G742" s="457"/>
    </row>
    <row r="743" spans="6:7" x14ac:dyDescent="0.2">
      <c r="F743" s="185"/>
      <c r="G743" s="457"/>
    </row>
    <row r="744" spans="6:7" x14ac:dyDescent="0.2">
      <c r="F744" s="185"/>
      <c r="G744" s="457"/>
    </row>
    <row r="745" spans="6:7" x14ac:dyDescent="0.2">
      <c r="F745" s="185"/>
      <c r="G745" s="457"/>
    </row>
    <row r="746" spans="6:7" x14ac:dyDescent="0.2">
      <c r="F746" s="185"/>
      <c r="G746" s="457"/>
    </row>
    <row r="747" spans="6:7" x14ac:dyDescent="0.2">
      <c r="F747" s="185"/>
      <c r="G747" s="457"/>
    </row>
    <row r="748" spans="6:7" x14ac:dyDescent="0.2">
      <c r="F748" s="185"/>
      <c r="G748" s="457"/>
    </row>
    <row r="749" spans="6:7" x14ac:dyDescent="0.2">
      <c r="F749" s="185"/>
      <c r="G749" s="457"/>
    </row>
    <row r="750" spans="6:7" x14ac:dyDescent="0.2">
      <c r="F750" s="185"/>
      <c r="G750" s="457"/>
    </row>
    <row r="751" spans="6:7" x14ac:dyDescent="0.2">
      <c r="F751" s="185"/>
      <c r="G751" s="457"/>
    </row>
    <row r="752" spans="6:7" x14ac:dyDescent="0.2">
      <c r="F752" s="185"/>
      <c r="G752" s="457"/>
    </row>
    <row r="753" spans="6:7" x14ac:dyDescent="0.2">
      <c r="F753" s="185"/>
      <c r="G753" s="457"/>
    </row>
    <row r="754" spans="6:7" x14ac:dyDescent="0.2">
      <c r="F754" s="185"/>
      <c r="G754" s="457"/>
    </row>
    <row r="755" spans="6:7" x14ac:dyDescent="0.2">
      <c r="F755" s="185"/>
      <c r="G755" s="457"/>
    </row>
    <row r="756" spans="6:7" x14ac:dyDescent="0.2">
      <c r="F756" s="185"/>
      <c r="G756" s="457"/>
    </row>
    <row r="757" spans="6:7" x14ac:dyDescent="0.2">
      <c r="F757" s="185"/>
      <c r="G757" s="457"/>
    </row>
    <row r="758" spans="6:7" x14ac:dyDescent="0.2">
      <c r="F758" s="185"/>
      <c r="G758" s="457"/>
    </row>
    <row r="759" spans="6:7" x14ac:dyDescent="0.2">
      <c r="F759" s="185"/>
      <c r="G759" s="457"/>
    </row>
    <row r="760" spans="6:7" x14ac:dyDescent="0.2">
      <c r="F760" s="185"/>
      <c r="G760" s="457"/>
    </row>
    <row r="761" spans="6:7" x14ac:dyDescent="0.2">
      <c r="F761" s="185"/>
      <c r="G761" s="457"/>
    </row>
    <row r="762" spans="6:7" x14ac:dyDescent="0.2">
      <c r="F762" s="185"/>
      <c r="G762" s="457"/>
    </row>
    <row r="763" spans="6:7" x14ac:dyDescent="0.2">
      <c r="F763" s="185"/>
      <c r="G763" s="457"/>
    </row>
    <row r="764" spans="6:7" x14ac:dyDescent="0.2">
      <c r="F764" s="185"/>
      <c r="G764" s="457"/>
    </row>
    <row r="765" spans="6:7" x14ac:dyDescent="0.2">
      <c r="F765" s="185"/>
      <c r="G765" s="457"/>
    </row>
    <row r="766" spans="6:7" x14ac:dyDescent="0.2">
      <c r="F766" s="185"/>
      <c r="G766" s="457"/>
    </row>
    <row r="767" spans="6:7" x14ac:dyDescent="0.2">
      <c r="F767" s="185"/>
      <c r="G767" s="457"/>
    </row>
    <row r="768" spans="6:7" x14ac:dyDescent="0.2">
      <c r="F768" s="185"/>
      <c r="G768" s="457"/>
    </row>
    <row r="769" spans="6:7" x14ac:dyDescent="0.2">
      <c r="F769" s="185"/>
      <c r="G769" s="457"/>
    </row>
    <row r="770" spans="6:7" x14ac:dyDescent="0.2">
      <c r="F770" s="185"/>
      <c r="G770" s="457"/>
    </row>
    <row r="771" spans="6:7" x14ac:dyDescent="0.2">
      <c r="F771" s="185"/>
      <c r="G771" s="457"/>
    </row>
    <row r="772" spans="6:7" x14ac:dyDescent="0.2">
      <c r="F772" s="185"/>
      <c r="G772" s="457"/>
    </row>
    <row r="773" spans="6:7" x14ac:dyDescent="0.2">
      <c r="F773" s="185"/>
      <c r="G773" s="457"/>
    </row>
    <row r="774" spans="6:7" x14ac:dyDescent="0.2">
      <c r="F774" s="185"/>
      <c r="G774" s="457"/>
    </row>
    <row r="775" spans="6:7" x14ac:dyDescent="0.2">
      <c r="F775" s="185"/>
      <c r="G775" s="457"/>
    </row>
    <row r="776" spans="6:7" x14ac:dyDescent="0.2">
      <c r="F776" s="185"/>
      <c r="G776" s="457"/>
    </row>
    <row r="777" spans="6:7" x14ac:dyDescent="0.2">
      <c r="F777" s="185"/>
      <c r="G777" s="457"/>
    </row>
    <row r="778" spans="6:7" x14ac:dyDescent="0.2">
      <c r="F778" s="185"/>
      <c r="G778" s="457"/>
    </row>
    <row r="779" spans="6:7" x14ac:dyDescent="0.2">
      <c r="F779" s="185"/>
      <c r="G779" s="457"/>
    </row>
    <row r="780" spans="6:7" x14ac:dyDescent="0.2">
      <c r="F780" s="185"/>
      <c r="G780" s="457"/>
    </row>
    <row r="781" spans="6:7" x14ac:dyDescent="0.2">
      <c r="F781" s="185"/>
      <c r="G781" s="457"/>
    </row>
    <row r="782" spans="6:7" x14ac:dyDescent="0.2">
      <c r="F782" s="185"/>
      <c r="G782" s="457"/>
    </row>
    <row r="783" spans="6:7" x14ac:dyDescent="0.2">
      <c r="F783" s="185"/>
      <c r="G783" s="457"/>
    </row>
    <row r="784" spans="6:7" x14ac:dyDescent="0.2">
      <c r="F784" s="185"/>
      <c r="G784" s="457"/>
    </row>
    <row r="785" spans="6:7" x14ac:dyDescent="0.2">
      <c r="F785" s="185"/>
      <c r="G785" s="457"/>
    </row>
    <row r="786" spans="6:7" x14ac:dyDescent="0.2">
      <c r="F786" s="185"/>
      <c r="G786" s="457"/>
    </row>
    <row r="787" spans="6:7" x14ac:dyDescent="0.2">
      <c r="F787" s="185"/>
      <c r="G787" s="457"/>
    </row>
    <row r="788" spans="6:7" x14ac:dyDescent="0.2">
      <c r="F788" s="185"/>
      <c r="G788" s="457"/>
    </row>
    <row r="789" spans="6:7" x14ac:dyDescent="0.2">
      <c r="F789" s="185"/>
      <c r="G789" s="457"/>
    </row>
    <row r="790" spans="6:7" x14ac:dyDescent="0.2">
      <c r="F790" s="185"/>
      <c r="G790" s="457"/>
    </row>
    <row r="791" spans="6:7" x14ac:dyDescent="0.2">
      <c r="F791" s="185"/>
      <c r="G791" s="457"/>
    </row>
    <row r="792" spans="6:7" x14ac:dyDescent="0.2">
      <c r="F792" s="185"/>
      <c r="G792" s="457"/>
    </row>
    <row r="793" spans="6:7" x14ac:dyDescent="0.2">
      <c r="F793" s="185"/>
      <c r="G793" s="457"/>
    </row>
    <row r="794" spans="6:7" x14ac:dyDescent="0.2">
      <c r="F794" s="185"/>
      <c r="G794" s="457"/>
    </row>
    <row r="795" spans="6:7" x14ac:dyDescent="0.2">
      <c r="F795" s="185"/>
      <c r="G795" s="457"/>
    </row>
    <row r="796" spans="6:7" x14ac:dyDescent="0.2">
      <c r="F796" s="185"/>
      <c r="G796" s="457"/>
    </row>
    <row r="797" spans="6:7" x14ac:dyDescent="0.2">
      <c r="F797" s="185"/>
      <c r="G797" s="457"/>
    </row>
    <row r="798" spans="6:7" x14ac:dyDescent="0.2">
      <c r="F798" s="185"/>
      <c r="G798" s="457"/>
    </row>
    <row r="799" spans="6:7" x14ac:dyDescent="0.2">
      <c r="F799" s="185"/>
      <c r="G799" s="457"/>
    </row>
    <row r="800" spans="6:7" x14ac:dyDescent="0.2">
      <c r="F800" s="185"/>
      <c r="G800" s="457"/>
    </row>
    <row r="801" spans="6:7" x14ac:dyDescent="0.2">
      <c r="F801" s="185"/>
      <c r="G801" s="457"/>
    </row>
    <row r="802" spans="6:7" x14ac:dyDescent="0.2">
      <c r="F802" s="185"/>
      <c r="G802" s="457"/>
    </row>
    <row r="803" spans="6:7" x14ac:dyDescent="0.2">
      <c r="F803" s="185"/>
      <c r="G803" s="457"/>
    </row>
    <row r="804" spans="6:7" x14ac:dyDescent="0.2">
      <c r="F804" s="185"/>
      <c r="G804" s="457"/>
    </row>
    <row r="805" spans="6:7" x14ac:dyDescent="0.2">
      <c r="F805" s="185"/>
      <c r="G805" s="457"/>
    </row>
    <row r="806" spans="6:7" x14ac:dyDescent="0.2">
      <c r="F806" s="185"/>
      <c r="G806" s="457"/>
    </row>
    <row r="807" spans="6:7" x14ac:dyDescent="0.2">
      <c r="F807" s="185"/>
      <c r="G807" s="457"/>
    </row>
    <row r="808" spans="6:7" x14ac:dyDescent="0.2">
      <c r="F808" s="185"/>
      <c r="G808" s="457"/>
    </row>
    <row r="809" spans="6:7" x14ac:dyDescent="0.2">
      <c r="F809" s="185"/>
      <c r="G809" s="457"/>
    </row>
    <row r="810" spans="6:7" x14ac:dyDescent="0.2">
      <c r="F810" s="185"/>
      <c r="G810" s="457"/>
    </row>
    <row r="811" spans="6:7" x14ac:dyDescent="0.2">
      <c r="F811" s="185"/>
      <c r="G811" s="457"/>
    </row>
    <row r="812" spans="6:7" x14ac:dyDescent="0.2">
      <c r="F812" s="185"/>
      <c r="G812" s="457"/>
    </row>
    <row r="813" spans="6:7" x14ac:dyDescent="0.2">
      <c r="F813" s="185"/>
      <c r="G813" s="457"/>
    </row>
    <row r="814" spans="6:7" x14ac:dyDescent="0.2">
      <c r="F814" s="185"/>
      <c r="G814" s="457"/>
    </row>
    <row r="815" spans="6:7" x14ac:dyDescent="0.2">
      <c r="F815" s="185"/>
      <c r="G815" s="457"/>
    </row>
    <row r="816" spans="6:7" x14ac:dyDescent="0.2">
      <c r="F816" s="185"/>
      <c r="G816" s="457"/>
    </row>
    <row r="817" spans="6:7" x14ac:dyDescent="0.2">
      <c r="F817" s="185"/>
      <c r="G817" s="457"/>
    </row>
    <row r="818" spans="6:7" x14ac:dyDescent="0.2">
      <c r="F818" s="185"/>
      <c r="G818" s="457"/>
    </row>
    <row r="819" spans="6:7" x14ac:dyDescent="0.2">
      <c r="F819" s="185"/>
      <c r="G819" s="457"/>
    </row>
    <row r="820" spans="6:7" x14ac:dyDescent="0.2">
      <c r="F820" s="185"/>
      <c r="G820" s="457"/>
    </row>
    <row r="821" spans="6:7" x14ac:dyDescent="0.2">
      <c r="F821" s="185"/>
      <c r="G821" s="457"/>
    </row>
    <row r="822" spans="6:7" x14ac:dyDescent="0.2">
      <c r="F822" s="185"/>
      <c r="G822" s="457"/>
    </row>
    <row r="823" spans="6:7" x14ac:dyDescent="0.2">
      <c r="F823" s="185"/>
      <c r="G823" s="457"/>
    </row>
    <row r="824" spans="6:7" x14ac:dyDescent="0.2">
      <c r="F824" s="185"/>
      <c r="G824" s="457"/>
    </row>
    <row r="825" spans="6:7" x14ac:dyDescent="0.2">
      <c r="F825" s="185"/>
      <c r="G825" s="457"/>
    </row>
    <row r="826" spans="6:7" x14ac:dyDescent="0.2">
      <c r="F826" s="185"/>
      <c r="G826" s="457"/>
    </row>
    <row r="827" spans="6:7" x14ac:dyDescent="0.2">
      <c r="F827" s="185"/>
      <c r="G827" s="457"/>
    </row>
    <row r="828" spans="6:7" x14ac:dyDescent="0.2">
      <c r="F828" s="185"/>
      <c r="G828" s="457"/>
    </row>
    <row r="829" spans="6:7" x14ac:dyDescent="0.2">
      <c r="F829" s="185"/>
      <c r="G829" s="457"/>
    </row>
    <row r="830" spans="6:7" x14ac:dyDescent="0.2">
      <c r="F830" s="185"/>
      <c r="G830" s="457"/>
    </row>
    <row r="831" spans="6:7" x14ac:dyDescent="0.2">
      <c r="F831" s="185"/>
      <c r="G831" s="457"/>
    </row>
    <row r="832" spans="6:7" x14ac:dyDescent="0.2">
      <c r="F832" s="185"/>
      <c r="G832" s="457"/>
    </row>
    <row r="833" spans="6:7" x14ac:dyDescent="0.2">
      <c r="F833" s="185"/>
      <c r="G833" s="457"/>
    </row>
    <row r="834" spans="6:7" x14ac:dyDescent="0.2">
      <c r="F834" s="185"/>
      <c r="G834" s="457"/>
    </row>
    <row r="835" spans="6:7" x14ac:dyDescent="0.2">
      <c r="F835" s="185"/>
      <c r="G835" s="457"/>
    </row>
    <row r="836" spans="6:7" x14ac:dyDescent="0.2">
      <c r="F836" s="185"/>
      <c r="G836" s="457"/>
    </row>
    <row r="837" spans="6:7" x14ac:dyDescent="0.2">
      <c r="F837" s="185"/>
      <c r="G837" s="457"/>
    </row>
    <row r="838" spans="6:7" x14ac:dyDescent="0.2">
      <c r="F838" s="185"/>
      <c r="G838" s="457"/>
    </row>
    <row r="839" spans="6:7" x14ac:dyDescent="0.2">
      <c r="F839" s="185"/>
      <c r="G839" s="457"/>
    </row>
    <row r="840" spans="6:7" x14ac:dyDescent="0.2">
      <c r="F840" s="185"/>
      <c r="G840" s="457"/>
    </row>
    <row r="841" spans="6:7" x14ac:dyDescent="0.2">
      <c r="F841" s="185"/>
      <c r="G841" s="457"/>
    </row>
    <row r="842" spans="6:7" x14ac:dyDescent="0.2">
      <c r="F842" s="185"/>
      <c r="G842" s="457"/>
    </row>
    <row r="843" spans="6:7" x14ac:dyDescent="0.2">
      <c r="F843" s="185"/>
      <c r="G843" s="457"/>
    </row>
    <row r="844" spans="6:7" x14ac:dyDescent="0.2">
      <c r="F844" s="185"/>
      <c r="G844" s="457"/>
    </row>
    <row r="845" spans="6:7" x14ac:dyDescent="0.2">
      <c r="F845" s="185"/>
      <c r="G845" s="457"/>
    </row>
    <row r="846" spans="6:7" x14ac:dyDescent="0.2">
      <c r="F846" s="185"/>
      <c r="G846" s="457"/>
    </row>
    <row r="847" spans="6:7" x14ac:dyDescent="0.2">
      <c r="F847" s="185"/>
      <c r="G847" s="457"/>
    </row>
    <row r="848" spans="6:7" x14ac:dyDescent="0.2">
      <c r="F848" s="185"/>
      <c r="G848" s="457"/>
    </row>
    <row r="849" spans="6:7" x14ac:dyDescent="0.2">
      <c r="F849" s="185"/>
      <c r="G849" s="457"/>
    </row>
    <row r="850" spans="6:7" x14ac:dyDescent="0.2">
      <c r="F850" s="185"/>
      <c r="G850" s="457"/>
    </row>
    <row r="851" spans="6:7" x14ac:dyDescent="0.2">
      <c r="F851" s="185"/>
      <c r="G851" s="457"/>
    </row>
    <row r="852" spans="6:7" x14ac:dyDescent="0.2">
      <c r="F852" s="185"/>
      <c r="G852" s="457"/>
    </row>
    <row r="853" spans="6:7" x14ac:dyDescent="0.2">
      <c r="F853" s="185"/>
      <c r="G853" s="457"/>
    </row>
    <row r="854" spans="6:7" x14ac:dyDescent="0.2">
      <c r="F854" s="185"/>
      <c r="G854" s="457"/>
    </row>
    <row r="855" spans="6:7" x14ac:dyDescent="0.2">
      <c r="F855" s="185"/>
      <c r="G855" s="457"/>
    </row>
    <row r="856" spans="6:7" x14ac:dyDescent="0.2">
      <c r="F856" s="185"/>
      <c r="G856" s="457"/>
    </row>
    <row r="857" spans="6:7" x14ac:dyDescent="0.2">
      <c r="F857" s="185"/>
      <c r="G857" s="457"/>
    </row>
    <row r="858" spans="6:7" x14ac:dyDescent="0.2">
      <c r="F858" s="185"/>
      <c r="G858" s="457"/>
    </row>
    <row r="859" spans="6:7" x14ac:dyDescent="0.2">
      <c r="F859" s="185"/>
      <c r="G859" s="457"/>
    </row>
    <row r="860" spans="6:7" x14ac:dyDescent="0.2">
      <c r="F860" s="185"/>
      <c r="G860" s="457"/>
    </row>
    <row r="861" spans="6:7" x14ac:dyDescent="0.2">
      <c r="F861" s="185"/>
      <c r="G861" s="457"/>
    </row>
    <row r="862" spans="6:7" x14ac:dyDescent="0.2">
      <c r="F862" s="185"/>
      <c r="G862" s="457"/>
    </row>
    <row r="863" spans="6:7" x14ac:dyDescent="0.2">
      <c r="F863" s="185"/>
      <c r="G863" s="457"/>
    </row>
    <row r="864" spans="6:7" x14ac:dyDescent="0.2">
      <c r="F864" s="185"/>
      <c r="G864" s="457"/>
    </row>
    <row r="865" spans="6:7" x14ac:dyDescent="0.2">
      <c r="F865" s="185"/>
      <c r="G865" s="457"/>
    </row>
    <row r="866" spans="6:7" x14ac:dyDescent="0.2">
      <c r="F866" s="185"/>
      <c r="G866" s="457"/>
    </row>
    <row r="867" spans="6:7" x14ac:dyDescent="0.2">
      <c r="F867" s="185"/>
      <c r="G867" s="457"/>
    </row>
    <row r="868" spans="6:7" x14ac:dyDescent="0.2">
      <c r="F868" s="185"/>
      <c r="G868" s="457"/>
    </row>
    <row r="869" spans="6:7" x14ac:dyDescent="0.2">
      <c r="F869" s="185"/>
      <c r="G869" s="457"/>
    </row>
    <row r="870" spans="6:7" x14ac:dyDescent="0.2">
      <c r="F870" s="185"/>
      <c r="G870" s="457"/>
    </row>
    <row r="871" spans="6:7" x14ac:dyDescent="0.2">
      <c r="F871" s="185"/>
      <c r="G871" s="457"/>
    </row>
    <row r="872" spans="6:7" x14ac:dyDescent="0.2">
      <c r="F872" s="185"/>
      <c r="G872" s="457"/>
    </row>
    <row r="873" spans="6:7" x14ac:dyDescent="0.2">
      <c r="F873" s="185"/>
      <c r="G873" s="457"/>
    </row>
    <row r="874" spans="6:7" x14ac:dyDescent="0.2">
      <c r="F874" s="185"/>
      <c r="G874" s="457"/>
    </row>
    <row r="875" spans="6:7" x14ac:dyDescent="0.2">
      <c r="F875" s="185"/>
      <c r="G875" s="457"/>
    </row>
    <row r="876" spans="6:7" x14ac:dyDescent="0.2">
      <c r="F876" s="185"/>
      <c r="G876" s="457"/>
    </row>
  </sheetData>
  <sheetProtection algorithmName="SHA-512" hashValue="C4K2vPSlKGFtGaTo7Xv+HJ5iM5QqfVYBD88Gjktw3EHoo+LHVQaRrqlD32LHTTy1RZkZ9EWbM4qawUbUOO6rag==" saltValue="eZKnyiyzTFOetwsNQkLGkw==" spinCount="100000" sheet="1" formatCells="0" formatColumns="0" formatRows="0"/>
  <customSheetViews>
    <customSheetView guid="{B8E02330-2419-4DE6-AD01-7ACC7A5D18DD}" scale="75" topLeftCell="A245">
      <selection activeCell="A2" sqref="A2:H260"/>
      <pageMargins left="0.75" right="0.75" top="1" bottom="1" header="0.5" footer="0.5"/>
      <pageSetup orientation="portrait" r:id="rId1"/>
      <headerFooter alignWithMargins="0"/>
    </customSheetView>
  </customSheetViews>
  <mergeCells count="185">
    <mergeCell ref="H240:I240"/>
    <mergeCell ref="H250:I250"/>
    <mergeCell ref="H251:I251"/>
    <mergeCell ref="H241:I241"/>
    <mergeCell ref="H242:I242"/>
    <mergeCell ref="H243:I243"/>
    <mergeCell ref="H244:I244"/>
    <mergeCell ref="H245:I245"/>
    <mergeCell ref="H246:I246"/>
    <mergeCell ref="H247:I247"/>
    <mergeCell ref="H248:I248"/>
    <mergeCell ref="H249:I249"/>
    <mergeCell ref="H231:I231"/>
    <mergeCell ref="H232:I232"/>
    <mergeCell ref="H233:I233"/>
    <mergeCell ref="H234:I234"/>
    <mergeCell ref="H235:I235"/>
    <mergeCell ref="H236:I236"/>
    <mergeCell ref="H237:I237"/>
    <mergeCell ref="H238:I238"/>
    <mergeCell ref="H239:I239"/>
    <mergeCell ref="H222:I222"/>
    <mergeCell ref="H223:I223"/>
    <mergeCell ref="H224:I224"/>
    <mergeCell ref="H225:I225"/>
    <mergeCell ref="H226:I226"/>
    <mergeCell ref="H227:I227"/>
    <mergeCell ref="H228:I228"/>
    <mergeCell ref="H229:I229"/>
    <mergeCell ref="H230:I230"/>
    <mergeCell ref="H212:I212"/>
    <mergeCell ref="H214:I214"/>
    <mergeCell ref="H215:I215"/>
    <mergeCell ref="H216:I216"/>
    <mergeCell ref="H217:I217"/>
    <mergeCell ref="H218:I218"/>
    <mergeCell ref="H219:I219"/>
    <mergeCell ref="H220:I220"/>
    <mergeCell ref="H221:I221"/>
    <mergeCell ref="I157:I160"/>
    <mergeCell ref="I161:I164"/>
    <mergeCell ref="I165:I170"/>
    <mergeCell ref="I171:I173"/>
    <mergeCell ref="I174:I180"/>
    <mergeCell ref="I181:I185"/>
    <mergeCell ref="H211:I211"/>
    <mergeCell ref="H191:H198"/>
    <mergeCell ref="H181:H185"/>
    <mergeCell ref="I104:I109"/>
    <mergeCell ref="I110:I116"/>
    <mergeCell ref="I129:I134"/>
    <mergeCell ref="I117:I122"/>
    <mergeCell ref="I123:I128"/>
    <mergeCell ref="I135:I141"/>
    <mergeCell ref="I142:I148"/>
    <mergeCell ref="I149:I152"/>
    <mergeCell ref="I153:I156"/>
    <mergeCell ref="I54:I58"/>
    <mergeCell ref="I60:I66"/>
    <mergeCell ref="I67:I71"/>
    <mergeCell ref="I72:I80"/>
    <mergeCell ref="I81:I87"/>
    <mergeCell ref="I88:I90"/>
    <mergeCell ref="I91:I95"/>
    <mergeCell ref="I96:I99"/>
    <mergeCell ref="I100:I103"/>
    <mergeCell ref="A28:A34"/>
    <mergeCell ref="A11:A18"/>
    <mergeCell ref="B11:B18"/>
    <mergeCell ref="H44:H48"/>
    <mergeCell ref="A25:A27"/>
    <mergeCell ref="H49:H52"/>
    <mergeCell ref="H11:H18"/>
    <mergeCell ref="B25:B27"/>
    <mergeCell ref="E1:I1"/>
    <mergeCell ref="I3:I10"/>
    <mergeCell ref="I11:I18"/>
    <mergeCell ref="I19:I24"/>
    <mergeCell ref="I25:I27"/>
    <mergeCell ref="I28:I34"/>
    <mergeCell ref="I36:I43"/>
    <mergeCell ref="I44:I48"/>
    <mergeCell ref="A19:A24"/>
    <mergeCell ref="B3:B10"/>
    <mergeCell ref="B19:B24"/>
    <mergeCell ref="H19:H24"/>
    <mergeCell ref="H3:H10"/>
    <mergeCell ref="A1:B1"/>
    <mergeCell ref="A3:A10"/>
    <mergeCell ref="I49:I52"/>
    <mergeCell ref="H36:H43"/>
    <mergeCell ref="B36:B43"/>
    <mergeCell ref="B54:B58"/>
    <mergeCell ref="B110:B116"/>
    <mergeCell ref="B44:B48"/>
    <mergeCell ref="H129:H134"/>
    <mergeCell ref="H104:H109"/>
    <mergeCell ref="H88:H90"/>
    <mergeCell ref="B91:B95"/>
    <mergeCell ref="B72:B80"/>
    <mergeCell ref="B123:B128"/>
    <mergeCell ref="B81:B87"/>
    <mergeCell ref="D203:F203"/>
    <mergeCell ref="D204:F204"/>
    <mergeCell ref="D205:F205"/>
    <mergeCell ref="D206:F206"/>
    <mergeCell ref="H25:H27"/>
    <mergeCell ref="A36:A43"/>
    <mergeCell ref="A181:A185"/>
    <mergeCell ref="B104:B109"/>
    <mergeCell ref="A49:A52"/>
    <mergeCell ref="A117:A122"/>
    <mergeCell ref="A88:A90"/>
    <mergeCell ref="A142:A148"/>
    <mergeCell ref="A104:A109"/>
    <mergeCell ref="A135:A141"/>
    <mergeCell ref="A81:A87"/>
    <mergeCell ref="H171:H173"/>
    <mergeCell ref="B174:B180"/>
    <mergeCell ref="H174:H180"/>
    <mergeCell ref="B142:B148"/>
    <mergeCell ref="A72:A80"/>
    <mergeCell ref="B157:B160"/>
    <mergeCell ref="D202:H202"/>
    <mergeCell ref="B60:B66"/>
    <mergeCell ref="H81:H87"/>
    <mergeCell ref="A91:A95"/>
    <mergeCell ref="B171:B173"/>
    <mergeCell ref="H165:H170"/>
    <mergeCell ref="A54:A58"/>
    <mergeCell ref="A44:A48"/>
    <mergeCell ref="H142:H148"/>
    <mergeCell ref="H117:H122"/>
    <mergeCell ref="H123:H128"/>
    <mergeCell ref="A96:A99"/>
    <mergeCell ref="B96:B99"/>
    <mergeCell ref="B100:B103"/>
    <mergeCell ref="A100:A103"/>
    <mergeCell ref="H100:H103"/>
    <mergeCell ref="H96:H99"/>
    <mergeCell ref="A123:A128"/>
    <mergeCell ref="A60:A66"/>
    <mergeCell ref="B67:B71"/>
    <mergeCell ref="A67:A71"/>
    <mergeCell ref="H67:H71"/>
    <mergeCell ref="H60:H66"/>
    <mergeCell ref="B129:B134"/>
    <mergeCell ref="B49:B52"/>
    <mergeCell ref="B117:B122"/>
    <mergeCell ref="B165:B170"/>
    <mergeCell ref="B135:B141"/>
    <mergeCell ref="H135:H141"/>
    <mergeCell ref="A110:A116"/>
    <mergeCell ref="A191:A198"/>
    <mergeCell ref="B191:B198"/>
    <mergeCell ref="A153:A156"/>
    <mergeCell ref="B153:B156"/>
    <mergeCell ref="H161:H164"/>
    <mergeCell ref="B161:B164"/>
    <mergeCell ref="B149:B152"/>
    <mergeCell ref="A157:A160"/>
    <mergeCell ref="C211:E211"/>
    <mergeCell ref="B28:B34"/>
    <mergeCell ref="H28:H34"/>
    <mergeCell ref="H110:H116"/>
    <mergeCell ref="D209:F209"/>
    <mergeCell ref="B88:B90"/>
    <mergeCell ref="H54:H58"/>
    <mergeCell ref="H91:H95"/>
    <mergeCell ref="H72:H80"/>
    <mergeCell ref="A211:B212"/>
    <mergeCell ref="C212:E212"/>
    <mergeCell ref="H153:H156"/>
    <mergeCell ref="H149:H152"/>
    <mergeCell ref="H157:H160"/>
    <mergeCell ref="D210:H210"/>
    <mergeCell ref="D207:F207"/>
    <mergeCell ref="D208:F208"/>
    <mergeCell ref="A149:A152"/>
    <mergeCell ref="A129:A134"/>
    <mergeCell ref="A161:A164"/>
    <mergeCell ref="A174:A180"/>
    <mergeCell ref="A171:A173"/>
    <mergeCell ref="B181:B185"/>
    <mergeCell ref="A165:A170"/>
  </mergeCells>
  <phoneticPr fontId="3" type="noConversion"/>
  <pageMargins left="0.75" right="0.75" top="1" bottom="1" header="0.5" footer="0.5"/>
  <pageSetup orientation="portrait"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I419"/>
  <sheetViews>
    <sheetView topLeftCell="A101" zoomScaleNormal="100" workbookViewId="0">
      <selection activeCell="G114" sqref="G114"/>
    </sheetView>
  </sheetViews>
  <sheetFormatPr defaultColWidth="9.33203125" defaultRowHeight="12.75" x14ac:dyDescent="0.2"/>
  <cols>
    <col min="1" max="1" width="5.83203125" style="2" customWidth="1"/>
    <col min="2" max="2" width="18.83203125" style="2" customWidth="1"/>
    <col min="3" max="3" width="75.83203125" style="2" customWidth="1"/>
    <col min="4" max="6" width="7.83203125" style="395" customWidth="1"/>
    <col min="7" max="7" width="9.83203125" style="396" customWidth="1"/>
    <col min="8" max="8" width="64.83203125" style="10" customWidth="1"/>
    <col min="9" max="9" width="11.1640625" style="10" customWidth="1"/>
    <col min="10" max="16384" width="9.33203125" style="2"/>
  </cols>
  <sheetData>
    <row r="1" spans="1:9" s="1412" customFormat="1" ht="66" customHeight="1" thickBot="1" x14ac:dyDescent="0.25">
      <c r="A1" s="2033" t="s">
        <v>2438</v>
      </c>
      <c r="B1" s="2034"/>
      <c r="C1" s="1407" t="s">
        <v>1081</v>
      </c>
      <c r="D1" s="1437" t="s">
        <v>1082</v>
      </c>
      <c r="E1" s="1929"/>
      <c r="F1" s="1930"/>
      <c r="G1" s="1930"/>
      <c r="H1" s="1930"/>
      <c r="I1" s="1930"/>
    </row>
    <row r="2" spans="1:9" s="56" customFormat="1" ht="36" customHeight="1" thickBot="1" x14ac:dyDescent="0.25">
      <c r="A2" s="833" t="s">
        <v>88</v>
      </c>
      <c r="B2" s="833" t="s">
        <v>1424</v>
      </c>
      <c r="C2" s="862" t="s">
        <v>1164</v>
      </c>
      <c r="D2" s="833" t="s">
        <v>45</v>
      </c>
      <c r="E2" s="904" t="s">
        <v>1188</v>
      </c>
      <c r="F2" s="905" t="s">
        <v>1189</v>
      </c>
      <c r="G2" s="906" t="s">
        <v>2558</v>
      </c>
      <c r="H2" s="833" t="s">
        <v>1117</v>
      </c>
      <c r="I2" s="895" t="s">
        <v>2427</v>
      </c>
    </row>
    <row r="3" spans="1:9" ht="31.5" customHeight="1" thickBot="1" x14ac:dyDescent="0.25">
      <c r="A3" s="2030" t="str">
        <f>OF!A16</f>
        <v>OF3</v>
      </c>
      <c r="B3" s="2030" t="str">
        <f>OF!B16</f>
        <v>Ponded Water &amp; Wetland Within 1 km.</v>
      </c>
      <c r="C3" s="654" t="str">
        <f>OF!C16</f>
        <v>The area of wetlands and surface water ponded during most of the growing season that is both (1) in or adjacent to the AA and (2) within 1 km is:</v>
      </c>
      <c r="D3" s="752"/>
      <c r="E3" s="191"/>
      <c r="F3" s="209"/>
      <c r="G3" s="327">
        <f>MAX(F4:F9)/MAX(E4:E9)</f>
        <v>0</v>
      </c>
      <c r="H3" s="2035" t="s">
        <v>1467</v>
      </c>
      <c r="I3" s="1669" t="s">
        <v>1313</v>
      </c>
    </row>
    <row r="4" spans="1:9" ht="15" customHeight="1" x14ac:dyDescent="0.2">
      <c r="A4" s="2031"/>
      <c r="B4" s="2031"/>
      <c r="C4" s="964" t="str">
        <f>OF!C10</f>
        <v>&lt;0.01 hectare (about 10 m x 10 m).</v>
      </c>
      <c r="D4" s="655">
        <f>OF!D10</f>
        <v>0</v>
      </c>
      <c r="E4" s="186">
        <v>0</v>
      </c>
      <c r="F4" s="211">
        <f t="shared" ref="F4:F9" si="0">D4*E4</f>
        <v>0</v>
      </c>
      <c r="G4" s="189"/>
      <c r="H4" s="2036"/>
      <c r="I4" s="1670"/>
    </row>
    <row r="5" spans="1:9" ht="15" customHeight="1" x14ac:dyDescent="0.2">
      <c r="A5" s="2031"/>
      <c r="B5" s="2031"/>
      <c r="C5" s="962" t="str">
        <f>OF!C11</f>
        <v>0.01 - 0.1 hectare.</v>
      </c>
      <c r="D5" s="655">
        <f>OF!D11</f>
        <v>0</v>
      </c>
      <c r="E5" s="186">
        <v>2</v>
      </c>
      <c r="F5" s="211">
        <f t="shared" si="0"/>
        <v>0</v>
      </c>
      <c r="G5" s="189"/>
      <c r="H5" s="2036"/>
      <c r="I5" s="1670"/>
    </row>
    <row r="6" spans="1:9" ht="15" customHeight="1" x14ac:dyDescent="0.2">
      <c r="A6" s="2031"/>
      <c r="B6" s="2031"/>
      <c r="C6" s="962" t="str">
        <f>OF!C12</f>
        <v>0.1 - 1 hectare.</v>
      </c>
      <c r="D6" s="655">
        <f>OF!D12</f>
        <v>0</v>
      </c>
      <c r="E6" s="186">
        <v>4</v>
      </c>
      <c r="F6" s="211">
        <f t="shared" si="0"/>
        <v>0</v>
      </c>
      <c r="G6" s="189"/>
      <c r="H6" s="2036"/>
      <c r="I6" s="1670"/>
    </row>
    <row r="7" spans="1:9" ht="15" customHeight="1" x14ac:dyDescent="0.2">
      <c r="A7" s="2031"/>
      <c r="B7" s="2031"/>
      <c r="C7" s="962" t="str">
        <f>OF!C13</f>
        <v>1 to 10 hectares.</v>
      </c>
      <c r="D7" s="655">
        <f>OF!D13</f>
        <v>0</v>
      </c>
      <c r="E7" s="186">
        <v>5</v>
      </c>
      <c r="F7" s="211">
        <f t="shared" si="0"/>
        <v>0</v>
      </c>
      <c r="G7" s="189"/>
      <c r="H7" s="2036"/>
      <c r="I7" s="1670"/>
    </row>
    <row r="8" spans="1:9" ht="15" customHeight="1" x14ac:dyDescent="0.2">
      <c r="A8" s="2031"/>
      <c r="B8" s="2031"/>
      <c r="C8" s="962" t="str">
        <f>OF!C14</f>
        <v>10 to 100 hectares.</v>
      </c>
      <c r="D8" s="655">
        <f>OF!D14</f>
        <v>0</v>
      </c>
      <c r="E8" s="187">
        <v>6</v>
      </c>
      <c r="F8" s="211">
        <f t="shared" si="0"/>
        <v>0</v>
      </c>
      <c r="G8" s="189"/>
      <c r="H8" s="2036"/>
      <c r="I8" s="1670"/>
    </row>
    <row r="9" spans="1:9" ht="15" customHeight="1" thickBot="1" x14ac:dyDescent="0.25">
      <c r="A9" s="2032"/>
      <c r="B9" s="2032"/>
      <c r="C9" s="963" t="str">
        <f>OF!C15</f>
        <v>&gt;100 hectares.</v>
      </c>
      <c r="D9" s="961">
        <f>OF!D15</f>
        <v>0</v>
      </c>
      <c r="E9" s="201">
        <v>8</v>
      </c>
      <c r="F9" s="215">
        <f t="shared" si="0"/>
        <v>0</v>
      </c>
      <c r="G9" s="754"/>
      <c r="H9" s="2037"/>
      <c r="I9" s="1671"/>
    </row>
    <row r="10" spans="1:9" ht="30" customHeight="1" thickBot="1" x14ac:dyDescent="0.25">
      <c r="A10" s="1714" t="str">
        <f>OF!A64</f>
        <v>OF13</v>
      </c>
      <c r="B10" s="1696" t="str">
        <f>OF!B64</f>
        <v>Distance to Ponded Water</v>
      </c>
      <c r="C10" s="245" t="str">
        <f>OF!C64</f>
        <v>The distance from the AA center to the closest (but separate) ponded water body visible in GoogleEarth imagery is:</v>
      </c>
      <c r="D10" s="186"/>
      <c r="E10" s="186"/>
      <c r="F10" s="208"/>
      <c r="G10" s="328" t="str">
        <f>IF((Fen_ + Marsh&gt;0),MAX(F11:F17)/MAX(E11:E17),"")</f>
        <v/>
      </c>
      <c r="H10" s="1696" t="s">
        <v>1582</v>
      </c>
      <c r="I10" s="1670" t="s">
        <v>205</v>
      </c>
    </row>
    <row r="11" spans="1:9" ht="27" customHeight="1" x14ac:dyDescent="0.2">
      <c r="A11" s="1714"/>
      <c r="B11" s="1696"/>
      <c r="C11" s="14" t="str">
        <f>OF!C65</f>
        <v xml:space="preserve">&lt;50 m, and not separated by any width of paved roads, stretches of open water, row crops, lawn, bare ground, or impervious surface. </v>
      </c>
      <c r="D11" s="129">
        <f>OF!D65</f>
        <v>0</v>
      </c>
      <c r="E11" s="187">
        <v>6</v>
      </c>
      <c r="F11" s="211">
        <f t="shared" ref="F11:F17" si="1">D11*E11</f>
        <v>0</v>
      </c>
      <c r="G11" s="383"/>
      <c r="H11" s="1696"/>
      <c r="I11" s="1670"/>
    </row>
    <row r="12" spans="1:9" ht="15" customHeight="1" x14ac:dyDescent="0.2">
      <c r="A12" s="1714"/>
      <c r="B12" s="1696"/>
      <c r="C12" s="14" t="str">
        <f>OF!C66</f>
        <v>&lt;50 m, but completely separated by those features.</v>
      </c>
      <c r="D12" s="129">
        <f>OF!D66</f>
        <v>0</v>
      </c>
      <c r="E12" s="187">
        <v>5</v>
      </c>
      <c r="F12" s="211">
        <f t="shared" si="1"/>
        <v>0</v>
      </c>
      <c r="G12" s="384"/>
      <c r="H12" s="1696"/>
      <c r="I12" s="1670"/>
    </row>
    <row r="13" spans="1:9" ht="15" customHeight="1" x14ac:dyDescent="0.2">
      <c r="A13" s="1714"/>
      <c r="B13" s="1696"/>
      <c r="C13" s="14" t="str">
        <f>OF!C67</f>
        <v>50-500 m, and not separated.</v>
      </c>
      <c r="D13" s="129">
        <f>OF!D67</f>
        <v>0</v>
      </c>
      <c r="E13" s="187">
        <v>4</v>
      </c>
      <c r="F13" s="211">
        <f t="shared" si="1"/>
        <v>0</v>
      </c>
      <c r="G13" s="384"/>
      <c r="H13" s="1696"/>
      <c r="I13" s="1670"/>
    </row>
    <row r="14" spans="1:9" ht="15" customHeight="1" x14ac:dyDescent="0.2">
      <c r="A14" s="1714"/>
      <c r="B14" s="1696"/>
      <c r="C14" s="14" t="str">
        <f>OF!C68</f>
        <v>50-500 m, but separated by those features.</v>
      </c>
      <c r="D14" s="129">
        <f>OF!D68</f>
        <v>0</v>
      </c>
      <c r="E14" s="187">
        <v>3</v>
      </c>
      <c r="F14" s="211">
        <f t="shared" si="1"/>
        <v>0</v>
      </c>
      <c r="G14" s="384"/>
      <c r="H14" s="1696"/>
      <c r="I14" s="1670"/>
    </row>
    <row r="15" spans="1:9" ht="15" customHeight="1" x14ac:dyDescent="0.2">
      <c r="A15" s="1714"/>
      <c r="B15" s="1696"/>
      <c r="C15" s="14" t="str">
        <f>OF!C69</f>
        <v>0.5 - 1 km, and not separated.</v>
      </c>
      <c r="D15" s="129">
        <f>OF!D69</f>
        <v>0</v>
      </c>
      <c r="E15" s="187">
        <v>2</v>
      </c>
      <c r="F15" s="211">
        <f t="shared" si="1"/>
        <v>0</v>
      </c>
      <c r="G15" s="384"/>
      <c r="H15" s="1696"/>
      <c r="I15" s="1670"/>
    </row>
    <row r="16" spans="1:9" ht="15" customHeight="1" x14ac:dyDescent="0.2">
      <c r="A16" s="1714"/>
      <c r="B16" s="1696"/>
      <c r="C16" s="14" t="str">
        <f>OF!C70</f>
        <v>0.5 - 1 km, but separated by those features.</v>
      </c>
      <c r="D16" s="129">
        <f>OF!D70</f>
        <v>0</v>
      </c>
      <c r="E16" s="187">
        <v>1</v>
      </c>
      <c r="F16" s="211">
        <f t="shared" si="1"/>
        <v>0</v>
      </c>
      <c r="G16" s="384"/>
      <c r="H16" s="1696"/>
      <c r="I16" s="1670"/>
    </row>
    <row r="17" spans="1:9" ht="15" customHeight="1" thickBot="1" x14ac:dyDescent="0.25">
      <c r="A17" s="1715"/>
      <c r="B17" s="1712"/>
      <c r="C17" s="381" t="str">
        <f>OF!C71</f>
        <v>None of the above (the closest patches or corridors that large are &gt;1 km away).</v>
      </c>
      <c r="D17" s="151">
        <f>OF!D71</f>
        <v>0</v>
      </c>
      <c r="E17" s="188">
        <v>0</v>
      </c>
      <c r="F17" s="215">
        <f t="shared" si="1"/>
        <v>0</v>
      </c>
      <c r="G17" s="385"/>
      <c r="H17" s="1712"/>
      <c r="I17" s="1671"/>
    </row>
    <row r="18" spans="1:9" ht="30" customHeight="1" thickBot="1" x14ac:dyDescent="0.25">
      <c r="A18" s="1940" t="str">
        <f>OF!A72</f>
        <v>OF14</v>
      </c>
      <c r="B18" s="1696" t="str">
        <f>OF!B72</f>
        <v>Distance to Large Ponded Water</v>
      </c>
      <c r="C18" s="245" t="str">
        <f>OF!C72</f>
        <v>The distance from the AA center to the closest (but separate) non-tidal body of water that is ponded during most of the year and is larger than 8 hectares during most of a normal year is:</v>
      </c>
      <c r="D18" s="186"/>
      <c r="E18" s="186"/>
      <c r="F18" s="208"/>
      <c r="G18" s="328" t="str">
        <f>IF((Fen_ + Marsh&gt;0),MAX(F19:F24)/MAX(E19:E24),"")</f>
        <v/>
      </c>
      <c r="H18" s="1696" t="s">
        <v>2419</v>
      </c>
      <c r="I18" s="1669" t="s">
        <v>206</v>
      </c>
    </row>
    <row r="19" spans="1:9" ht="15" customHeight="1" x14ac:dyDescent="0.2">
      <c r="A19" s="1940"/>
      <c r="B19" s="1696"/>
      <c r="C19" s="14" t="str">
        <f>OF!C73</f>
        <v>&lt;100 m.</v>
      </c>
      <c r="D19" s="129">
        <f>OF!D73</f>
        <v>0</v>
      </c>
      <c r="E19" s="187">
        <v>5</v>
      </c>
      <c r="F19" s="211">
        <f t="shared" ref="F19:F24" si="2">D19*E19</f>
        <v>0</v>
      </c>
      <c r="G19" s="383"/>
      <c r="H19" s="1696"/>
      <c r="I19" s="1670"/>
    </row>
    <row r="20" spans="1:9" ht="15" customHeight="1" x14ac:dyDescent="0.2">
      <c r="A20" s="1940"/>
      <c r="B20" s="1696"/>
      <c r="C20" s="14" t="str">
        <f>OF!C74</f>
        <v>100 m - 1 km.</v>
      </c>
      <c r="D20" s="129">
        <f>OF!D74</f>
        <v>0</v>
      </c>
      <c r="E20" s="187">
        <v>4</v>
      </c>
      <c r="F20" s="211">
        <f t="shared" si="2"/>
        <v>0</v>
      </c>
      <c r="G20" s="384"/>
      <c r="H20" s="1696"/>
      <c r="I20" s="1670"/>
    </row>
    <row r="21" spans="1:9" ht="15" customHeight="1" x14ac:dyDescent="0.2">
      <c r="A21" s="1940"/>
      <c r="B21" s="1696"/>
      <c r="C21" s="14" t="str">
        <f>OF!C75</f>
        <v>1 -2 km.</v>
      </c>
      <c r="D21" s="129">
        <f>OF!D75</f>
        <v>0</v>
      </c>
      <c r="E21" s="187">
        <v>3</v>
      </c>
      <c r="F21" s="211">
        <f t="shared" si="2"/>
        <v>0</v>
      </c>
      <c r="G21" s="391"/>
      <c r="H21" s="1696"/>
      <c r="I21" s="1670"/>
    </row>
    <row r="22" spans="1:9" ht="15" customHeight="1" x14ac:dyDescent="0.2">
      <c r="A22" s="1940"/>
      <c r="B22" s="1696"/>
      <c r="C22" s="14" t="str">
        <f>OF!C76</f>
        <v>2-5 km.</v>
      </c>
      <c r="D22" s="129">
        <f>OF!D76</f>
        <v>0</v>
      </c>
      <c r="E22" s="190">
        <v>2</v>
      </c>
      <c r="F22" s="213">
        <f t="shared" si="2"/>
        <v>0</v>
      </c>
      <c r="G22" s="391"/>
      <c r="H22" s="1696"/>
      <c r="I22" s="1670"/>
    </row>
    <row r="23" spans="1:9" ht="15" customHeight="1" x14ac:dyDescent="0.2">
      <c r="A23" s="1940"/>
      <c r="B23" s="1696"/>
      <c r="C23" s="14" t="str">
        <f>OF!C77</f>
        <v>5-10 km.</v>
      </c>
      <c r="D23" s="129">
        <f>OF!D77</f>
        <v>0</v>
      </c>
      <c r="E23" s="190">
        <v>1</v>
      </c>
      <c r="F23" s="211">
        <f t="shared" si="2"/>
        <v>0</v>
      </c>
      <c r="G23" s="391"/>
      <c r="H23" s="1696"/>
      <c r="I23" s="1670"/>
    </row>
    <row r="24" spans="1:9" ht="15" customHeight="1" thickBot="1" x14ac:dyDescent="0.25">
      <c r="A24" s="1940"/>
      <c r="B24" s="1696"/>
      <c r="C24" s="14" t="str">
        <f>OF!C78</f>
        <v>&gt;10 km.</v>
      </c>
      <c r="D24" s="129">
        <f>OF!D78</f>
        <v>0</v>
      </c>
      <c r="E24" s="190">
        <v>0</v>
      </c>
      <c r="F24" s="213">
        <f t="shared" si="2"/>
        <v>0</v>
      </c>
      <c r="G24" s="391"/>
      <c r="H24" s="1696"/>
      <c r="I24" s="1671"/>
    </row>
    <row r="25" spans="1:9" ht="21" customHeight="1" thickBot="1" x14ac:dyDescent="0.25">
      <c r="A25" s="1713" t="str">
        <f>OF!A79</f>
        <v>OF15</v>
      </c>
      <c r="B25" s="1693" t="str">
        <f>OF!B79</f>
        <v>Tidal Proximity</v>
      </c>
      <c r="C25" s="240" t="str">
        <f>OF!C79</f>
        <v>The distance from the AA edge to the closest tidal water body (regardless of its salinity) is:</v>
      </c>
      <c r="D25" s="191"/>
      <c r="E25" s="191"/>
      <c r="F25" s="209"/>
      <c r="G25" s="327">
        <f>IF((D31=1),"",(MAX(F26:F31)/MAX(E26:E31)))</f>
        <v>0</v>
      </c>
      <c r="H25" s="1693" t="s">
        <v>2243</v>
      </c>
      <c r="I25" s="1669" t="s">
        <v>207</v>
      </c>
    </row>
    <row r="26" spans="1:9" ht="15" customHeight="1" x14ac:dyDescent="0.2">
      <c r="A26" s="1714"/>
      <c r="B26" s="1696"/>
      <c r="C26" s="14" t="str">
        <f>OF!C80</f>
        <v>&lt;100 m.</v>
      </c>
      <c r="D26" s="129">
        <f>OF!D80</f>
        <v>0</v>
      </c>
      <c r="E26" s="187">
        <v>9</v>
      </c>
      <c r="F26" s="211">
        <f t="shared" ref="F26:F31" si="3">D26*E26</f>
        <v>0</v>
      </c>
      <c r="G26" s="383"/>
      <c r="H26" s="1696"/>
      <c r="I26" s="1670"/>
    </row>
    <row r="27" spans="1:9" ht="15" customHeight="1" x14ac:dyDescent="0.2">
      <c r="A27" s="1714"/>
      <c r="B27" s="1696"/>
      <c r="C27" s="14" t="str">
        <f>OF!C81</f>
        <v>100 m - 1 km.</v>
      </c>
      <c r="D27" s="129">
        <f>OF!D81</f>
        <v>0</v>
      </c>
      <c r="E27" s="187">
        <v>7</v>
      </c>
      <c r="F27" s="211">
        <f t="shared" si="3"/>
        <v>0</v>
      </c>
      <c r="G27" s="384"/>
      <c r="H27" s="1696"/>
      <c r="I27" s="1670"/>
    </row>
    <row r="28" spans="1:9" ht="15" customHeight="1" x14ac:dyDescent="0.2">
      <c r="A28" s="1714"/>
      <c r="B28" s="1696"/>
      <c r="C28" s="14" t="str">
        <f>OF!C82</f>
        <v>1 - 5 km.</v>
      </c>
      <c r="D28" s="129">
        <f>OF!D82</f>
        <v>0</v>
      </c>
      <c r="E28" s="187">
        <v>6</v>
      </c>
      <c r="F28" s="211">
        <f t="shared" si="3"/>
        <v>0</v>
      </c>
      <c r="G28" s="384"/>
      <c r="H28" s="1696"/>
      <c r="I28" s="1670"/>
    </row>
    <row r="29" spans="1:9" ht="15" customHeight="1" x14ac:dyDescent="0.2">
      <c r="A29" s="1714"/>
      <c r="B29" s="1696"/>
      <c r="C29" s="14" t="str">
        <f>OF!C83</f>
        <v>5-10 km.</v>
      </c>
      <c r="D29" s="129">
        <f>OF!D83</f>
        <v>0</v>
      </c>
      <c r="E29" s="187">
        <v>4</v>
      </c>
      <c r="F29" s="211">
        <f t="shared" si="3"/>
        <v>0</v>
      </c>
      <c r="G29" s="384"/>
      <c r="H29" s="1696"/>
      <c r="I29" s="1670"/>
    </row>
    <row r="30" spans="1:9" ht="15" customHeight="1" x14ac:dyDescent="0.2">
      <c r="A30" s="1714"/>
      <c r="B30" s="1696"/>
      <c r="C30" s="14" t="str">
        <f>OF!C84</f>
        <v>10-40 km.</v>
      </c>
      <c r="D30" s="129">
        <f>OF!D84</f>
        <v>0</v>
      </c>
      <c r="E30" s="190">
        <v>2</v>
      </c>
      <c r="F30" s="213">
        <f t="shared" si="3"/>
        <v>0</v>
      </c>
      <c r="G30" s="391"/>
      <c r="H30" s="1696"/>
      <c r="I30" s="1670"/>
    </row>
    <row r="31" spans="1:9" ht="15" customHeight="1" thickBot="1" x14ac:dyDescent="0.25">
      <c r="A31" s="1715"/>
      <c r="B31" s="1712"/>
      <c r="C31" s="381" t="str">
        <f>OF!C85</f>
        <v>&gt;40 km.</v>
      </c>
      <c r="D31" s="151">
        <f>OF!D85</f>
        <v>0</v>
      </c>
      <c r="E31" s="188">
        <v>0</v>
      </c>
      <c r="F31" s="215">
        <f t="shared" si="3"/>
        <v>0</v>
      </c>
      <c r="G31" s="385"/>
      <c r="H31" s="1712"/>
      <c r="I31" s="1671"/>
    </row>
    <row r="32" spans="1:9" ht="45" customHeight="1" thickBot="1" x14ac:dyDescent="0.25">
      <c r="A32" s="1853" t="str">
        <f>OF!A99</f>
        <v>OF20</v>
      </c>
      <c r="B32" s="1670" t="str">
        <f>OF!B99</f>
        <v xml:space="preserve">Degraded Water Upstream </v>
      </c>
      <c r="C32" s="245" t="str">
        <f>OF!C99</f>
        <v xml:space="preserve">Sampling indicates a problem with concentrations of metals, hydrocarbons, nutrients, or other substances (excluding bacteria, acidic water, high temperatures) being present at levels harmful to aquatic life or humans, and:  </v>
      </c>
      <c r="D32" s="186"/>
      <c r="E32" s="217"/>
      <c r="F32" s="425"/>
      <c r="G32" s="328">
        <f>IF((D36=1),"", IF((D35=1),1, IF((D34=1),0.2, 0)))</f>
        <v>0</v>
      </c>
      <c r="H32" s="1696" t="s">
        <v>1468</v>
      </c>
      <c r="I32" s="1670" t="s">
        <v>209</v>
      </c>
    </row>
    <row r="33" spans="1:9" ht="15" customHeight="1" x14ac:dyDescent="0.2">
      <c r="A33" s="1853"/>
      <c r="B33" s="1670"/>
      <c r="C33" s="1325" t="str">
        <f>OF!C100</f>
        <v>The condition is present within the AA.</v>
      </c>
      <c r="D33" s="183">
        <f>OF!D100</f>
        <v>0</v>
      </c>
      <c r="E33" s="211"/>
      <c r="F33" s="211"/>
      <c r="G33" s="383"/>
      <c r="H33" s="1696"/>
      <c r="I33" s="1670"/>
    </row>
    <row r="34" spans="1:9" ht="27" customHeight="1" x14ac:dyDescent="0.2">
      <c r="A34" s="1853"/>
      <c r="B34" s="1670"/>
      <c r="C34" s="1334" t="str">
        <f>OF!C101</f>
        <v>The condition is present in waters within 1 km that flow into the AA, but has not been documented in the AA itself.</v>
      </c>
      <c r="D34" s="128">
        <f>OF!D101</f>
        <v>0</v>
      </c>
      <c r="E34" s="211"/>
      <c r="F34" s="211"/>
      <c r="G34" s="384"/>
      <c r="H34" s="1696"/>
      <c r="I34" s="1670"/>
    </row>
    <row r="35" spans="1:9" ht="27" customHeight="1" x14ac:dyDescent="0.2">
      <c r="A35" s="1853"/>
      <c r="B35" s="1670"/>
      <c r="C35" s="1334" t="str">
        <f>OF!C102</f>
        <v>Sampling during both low water periods and times with high runoff (storms, snowmelt) indicates no problems in either the AA or inflowing waters.</v>
      </c>
      <c r="D35" s="128">
        <f>OF!D102</f>
        <v>0</v>
      </c>
      <c r="E35" s="211"/>
      <c r="F35" s="211"/>
      <c r="G35" s="384"/>
      <c r="H35" s="1696"/>
      <c r="I35" s="1670"/>
    </row>
    <row r="36" spans="1:9" ht="27" customHeight="1" thickBot="1" x14ac:dyDescent="0.25">
      <c r="A36" s="1853"/>
      <c r="B36" s="1670"/>
      <c r="C36" s="1334" t="str">
        <f>OF!C103</f>
        <v>Data are insufficient (no or inadequate sampling within 1 km, or condition exists only at &gt;1 km upstream). This is the situation for nearly all wetlands in this region.</v>
      </c>
      <c r="D36" s="128">
        <f>OF!D103</f>
        <v>0</v>
      </c>
      <c r="E36" s="213"/>
      <c r="F36" s="213"/>
      <c r="G36" s="391"/>
      <c r="H36" s="1696"/>
      <c r="I36" s="1671"/>
    </row>
    <row r="37" spans="1:9" ht="45" customHeight="1" thickBot="1" x14ac:dyDescent="0.25">
      <c r="A37" s="336" t="str">
        <f>OF!A133</f>
        <v>OF27</v>
      </c>
      <c r="B37" s="60" t="str">
        <f>OF!B133</f>
        <v>Growing Degree Days</v>
      </c>
      <c r="C37" s="336" t="str">
        <f>OF!C133</f>
        <v>In Google Earth, open the KMZ file that accompanies this calculator, called NB-PEI_GrowingDegreeDays. Place your cursor over the AA and left-click. From the pop-up, enter the GRIDCODE in the next column.</v>
      </c>
      <c r="D37" s="1413">
        <f>OF!D133</f>
        <v>0</v>
      </c>
      <c r="E37" s="1129"/>
      <c r="F37" s="360"/>
      <c r="G37" s="253" t="str">
        <f>IF((GrowD&lt;1),"",(GrowD-1305)/1328)</f>
        <v/>
      </c>
      <c r="H37" s="36" t="s">
        <v>968</v>
      </c>
      <c r="I37" s="36" t="s">
        <v>982</v>
      </c>
    </row>
    <row r="38" spans="1:9" ht="21" customHeight="1" thickBot="1" x14ac:dyDescent="0.25">
      <c r="A38" s="2006" t="str">
        <f>OF!A134</f>
        <v>OF28</v>
      </c>
      <c r="B38" s="1805" t="str">
        <f>OF!B134</f>
        <v>Fish Access or Use</v>
      </c>
      <c r="C38" s="245" t="str">
        <f>OF!C134</f>
        <v>According to agency biologists and/or your own observations, the AA. [Mark just the first choice that is true.]:</v>
      </c>
      <c r="D38" s="186"/>
      <c r="E38" s="186"/>
      <c r="F38" s="208"/>
      <c r="G38" s="328">
        <f>IF((NoPonded=1),"", IF((D42=1),"",1))</f>
        <v>1</v>
      </c>
      <c r="H38" s="1670" t="s">
        <v>1307</v>
      </c>
      <c r="I38" s="1670" t="s">
        <v>208</v>
      </c>
    </row>
    <row r="39" spans="1:9" ht="42" customHeight="1" x14ac:dyDescent="0.2">
      <c r="A39" s="2006"/>
      <c r="B39" s="1803"/>
      <c r="C39" s="1324" t="str">
        <f>OF!C135</f>
        <v>Is known to support rearing and/or spawning by Atlantic salmon or other anadromous species or eels.  In NB, consult Figure A-2 in Appendix A of the Manual.  Contact local fishery biologists, review the ACCDC report, and visit these websites: http://www.salmonatlas.com/atlanticsalmon/canada-east/index.1.html    http://atlanticsalmonfederation.org/rivers/introduction.html</v>
      </c>
      <c r="D39" s="129">
        <f>OF!D135</f>
        <v>0</v>
      </c>
      <c r="E39" s="187">
        <v>1</v>
      </c>
      <c r="F39" s="211">
        <f>D39*E39</f>
        <v>0</v>
      </c>
      <c r="G39" s="383"/>
      <c r="H39" s="1670"/>
      <c r="I39" s="1670"/>
    </row>
    <row r="40" spans="1:9" ht="42" customHeight="1" x14ac:dyDescent="0.2">
      <c r="A40" s="2006"/>
      <c r="B40" s="1803"/>
      <c r="C40" s="1058" t="str">
        <f>OF!C136</f>
        <v>Has not been documented to support Atlantic salmon rearing and/or spawning, but is connected to nearby waters likely to contain Atlantic salmon or other anadromous species or eels and is probably accessed by those during some conditions.</v>
      </c>
      <c r="D40" s="33">
        <f>OF!D136</f>
        <v>0</v>
      </c>
      <c r="E40" s="187">
        <v>1</v>
      </c>
      <c r="F40" s="211">
        <f>D40*E40</f>
        <v>0</v>
      </c>
      <c r="G40" s="384"/>
      <c r="H40" s="1670"/>
      <c r="I40" s="1670"/>
    </row>
    <row r="41" spans="1:9" ht="27" customHeight="1" x14ac:dyDescent="0.2">
      <c r="A41" s="2006"/>
      <c r="B41" s="1803"/>
      <c r="C41" s="1058" t="str">
        <f>OF!C137</f>
        <v>Is probably is not accessed by any anadromous fish species but is known or likely to have other fish at least seasonally.</v>
      </c>
      <c r="D41" s="33">
        <f>OF!D137</f>
        <v>0</v>
      </c>
      <c r="E41" s="187">
        <v>1</v>
      </c>
      <c r="F41" s="211">
        <f>D41*E41</f>
        <v>0</v>
      </c>
      <c r="G41" s="384"/>
      <c r="H41" s="1670"/>
      <c r="I41" s="1670"/>
    </row>
    <row r="42" spans="1:9" ht="27" customHeight="1" thickBot="1" x14ac:dyDescent="0.25">
      <c r="A42" s="2006"/>
      <c r="B42" s="1803"/>
      <c r="C42" s="1058" t="str">
        <f>OF!C138</f>
        <v xml:space="preserve">Is known or likely to be fishless (e.g., too small, dry, and/or not accessible even temporarily, and not stocked). </v>
      </c>
      <c r="D42" s="33">
        <f>OF!D138</f>
        <v>0</v>
      </c>
      <c r="E42" s="187">
        <v>0</v>
      </c>
      <c r="F42" s="211">
        <f>D42*E42</f>
        <v>0</v>
      </c>
      <c r="G42" s="384"/>
      <c r="H42" s="1670"/>
      <c r="I42" s="1671"/>
    </row>
    <row r="43" spans="1:9" ht="21" customHeight="1" thickBot="1" x14ac:dyDescent="0.25">
      <c r="A43" s="1669" t="str">
        <f>F!A4</f>
        <v>F1</v>
      </c>
      <c r="B43" s="1669" t="str">
        <f>F!B4</f>
        <v>Wetland Type</v>
      </c>
      <c r="C43" s="55" t="str">
        <f>F!C4</f>
        <v>Follow the key below and mark the ONE row that best describes MOST of the vegetated part of the AA:</v>
      </c>
      <c r="D43" s="191"/>
      <c r="E43" s="290"/>
      <c r="F43" s="209"/>
      <c r="G43" s="291">
        <f>MAX(F44:F49)/MAX(E44:E49)</f>
        <v>0</v>
      </c>
      <c r="H43" s="1669" t="s">
        <v>2283</v>
      </c>
      <c r="I43" s="1669" t="s">
        <v>213</v>
      </c>
    </row>
    <row r="44" spans="1:9" ht="57" customHeight="1" thickBot="1" x14ac:dyDescent="0.25">
      <c r="A44" s="1670"/>
      <c r="B44" s="1670"/>
      <c r="C44" s="55" t="str">
        <f>F!C5</f>
        <v>A. Moss and/or lichen cover more than 25%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v>
      </c>
      <c r="D44" s="429"/>
      <c r="E44" s="217"/>
      <c r="F44" s="217"/>
      <c r="G44" s="292"/>
      <c r="H44" s="1670"/>
      <c r="I44" s="1670"/>
    </row>
    <row r="45" spans="1:9" ht="81" customHeight="1" x14ac:dyDescent="0.2">
      <c r="A45" s="1670"/>
      <c r="B45" s="1670"/>
      <c r="C45" s="243" t="str">
        <f>F!C6</f>
        <v>A1.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(Carex rariflora). Wetland surface and surrounding landscape are seldom sloping and wetland often is domed (convex). Inlet and outlet channels are usually absent.  If known, pH of peat is &lt;4.0.</v>
      </c>
      <c r="D45" s="1025">
        <f>F!D6</f>
        <v>0</v>
      </c>
      <c r="E45" s="217">
        <v>0</v>
      </c>
      <c r="F45" s="211">
        <f>D45*E45</f>
        <v>0</v>
      </c>
      <c r="G45" s="292"/>
      <c r="H45" s="1670"/>
      <c r="I45" s="1670"/>
    </row>
    <row r="46" spans="1:9" ht="57" customHeight="1" thickBot="1" x14ac:dyDescent="0.25">
      <c r="A46" s="1670"/>
      <c r="B46" s="1670"/>
      <c r="C46" s="182" t="str">
        <f>F!C7</f>
        <v>A2.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v>
      </c>
      <c r="D46" s="33">
        <f>F!D7</f>
        <v>0</v>
      </c>
      <c r="E46" s="217">
        <v>2</v>
      </c>
      <c r="F46" s="211">
        <f>D46*E46</f>
        <v>0</v>
      </c>
      <c r="G46" s="292"/>
      <c r="H46" s="1670"/>
      <c r="I46" s="1670"/>
    </row>
    <row r="47" spans="1:9" ht="42" customHeight="1" thickBot="1" x14ac:dyDescent="0.25">
      <c r="A47" s="1670"/>
      <c r="B47" s="1670"/>
      <c r="C47" s="55" t="str">
        <f>F!C8</f>
        <v>B. Moss and/or lichen cover less than 25% of the ground. Soil is mineral or decomposed organic (muck). Choose between B1 and B2 and mark the choice with a 1 in their adjoining column:</v>
      </c>
      <c r="D47" s="429"/>
      <c r="E47" s="217"/>
      <c r="F47" s="217"/>
      <c r="G47" s="292"/>
      <c r="H47" s="1670"/>
      <c r="I47" s="1670"/>
    </row>
    <row r="48" spans="1:9" ht="39" customHeight="1" x14ac:dyDescent="0.2">
      <c r="A48" s="1670"/>
      <c r="B48" s="1670"/>
      <c r="C48" s="243" t="str">
        <f>F!C9</f>
        <v>B1. Trees and shrubs taller than 1 m comprise more than 25% of the vegetated cover. Surface water is mostly absent or inundates the vegetation only seasonally (e.g., vernal pools or floodplain).</v>
      </c>
      <c r="D48" s="900">
        <f>F!D9</f>
        <v>0</v>
      </c>
      <c r="E48" s="217">
        <v>0</v>
      </c>
      <c r="F48" s="211">
        <f>D48*E48</f>
        <v>0</v>
      </c>
      <c r="G48" s="292"/>
      <c r="H48" s="1670"/>
      <c r="I48" s="1670"/>
    </row>
    <row r="49" spans="1:9" ht="42" customHeight="1" thickBot="1" x14ac:dyDescent="0.25">
      <c r="A49" s="1671"/>
      <c r="B49" s="1671"/>
      <c r="C49" s="242" t="str">
        <f>F!C10</f>
        <v>B2. Not B1.  Tree &amp; tall shrubs comprise less than than 25% of the vegetated cover.  Vegetation is mostly herbaceous, e.g., cattail, bulrush, burreed, pond lily, horsetail. Surface water may be extensive and fluctuates seasonally, being either persistent or drying up partly or entirely.</v>
      </c>
      <c r="D49" s="147">
        <f>F!D10</f>
        <v>0</v>
      </c>
      <c r="E49" s="454">
        <v>3</v>
      </c>
      <c r="F49" s="215">
        <f>D49*E49</f>
        <v>0</v>
      </c>
      <c r="G49" s="456"/>
      <c r="H49" s="1671"/>
      <c r="I49" s="1671"/>
    </row>
    <row r="50" spans="1:9" ht="51" customHeight="1" thickBot="1" x14ac:dyDescent="0.25">
      <c r="A50" s="1925" t="str">
        <f>F!A12</f>
        <v>F2</v>
      </c>
      <c r="B50" s="1670" t="str">
        <f>F!B12</f>
        <v xml:space="preserve">Wetland Types - Adjoining or Subordinate </v>
      </c>
      <c r="C50" s="624" t="str">
        <f>F!C12</f>
        <v>If the AA is smaller than 1 ha, mark all other types that occupy more than 1% of the vegetated AA.  If the AA is larger than 1 ha, mark all other types which are within or adjacent to the AA and occupy more than 1 ha, as visible from the AA or as interpreted from aerial imagery.  Do not mark again the type marked in F1.</v>
      </c>
      <c r="D50" s="217"/>
      <c r="E50" s="217"/>
      <c r="F50" s="217"/>
      <c r="G50" s="1075">
        <f>SUM(D51:D54)/3</f>
        <v>0</v>
      </c>
      <c r="H50" s="1925" t="s">
        <v>2377</v>
      </c>
      <c r="I50" s="1669" t="s">
        <v>1691</v>
      </c>
    </row>
    <row r="51" spans="1:9" ht="15" customHeight="1" x14ac:dyDescent="0.2">
      <c r="A51" s="1925"/>
      <c r="B51" s="1670"/>
      <c r="C51" s="781" t="str">
        <f>F!C13</f>
        <v>A1.</v>
      </c>
      <c r="D51" s="33">
        <f>F!D13</f>
        <v>0</v>
      </c>
      <c r="E51" s="211"/>
      <c r="F51" s="211"/>
      <c r="G51" s="763"/>
      <c r="H51" s="1925"/>
      <c r="I51" s="1670"/>
    </row>
    <row r="52" spans="1:9" ht="15" customHeight="1" x14ac:dyDescent="0.2">
      <c r="A52" s="1925"/>
      <c r="B52" s="1670"/>
      <c r="C52" s="782" t="str">
        <f>F!C14</f>
        <v>A2.</v>
      </c>
      <c r="D52" s="33">
        <f>F!D14</f>
        <v>0</v>
      </c>
      <c r="E52" s="211"/>
      <c r="F52" s="211"/>
      <c r="G52" s="763"/>
      <c r="H52" s="1925"/>
      <c r="I52" s="1670"/>
    </row>
    <row r="53" spans="1:9" ht="15" customHeight="1" x14ac:dyDescent="0.2">
      <c r="A53" s="1925"/>
      <c r="B53" s="1670"/>
      <c r="C53" s="782" t="str">
        <f>F!C15</f>
        <v>B1.</v>
      </c>
      <c r="D53" s="33">
        <f>F!D15</f>
        <v>0</v>
      </c>
      <c r="E53" s="211"/>
      <c r="F53" s="211"/>
      <c r="G53" s="763"/>
      <c r="H53" s="1925"/>
      <c r="I53" s="1670"/>
    </row>
    <row r="54" spans="1:9" ht="15" customHeight="1" thickBot="1" x14ac:dyDescent="0.25">
      <c r="A54" s="1936"/>
      <c r="B54" s="1671"/>
      <c r="C54" s="780" t="str">
        <f>F!C16</f>
        <v>B2.</v>
      </c>
      <c r="D54" s="84">
        <f>F!D16</f>
        <v>0</v>
      </c>
      <c r="E54" s="215"/>
      <c r="F54" s="215"/>
      <c r="G54" s="764"/>
      <c r="H54" s="1936"/>
      <c r="I54" s="1671"/>
    </row>
    <row r="55" spans="1:9" ht="45" customHeight="1" thickBot="1" x14ac:dyDescent="0.25">
      <c r="A55" s="1713" t="str">
        <f>F!A83</f>
        <v>F15</v>
      </c>
      <c r="B55" s="1693" t="str">
        <f>F!B83</f>
        <v xml:space="preserve">Shorebird Feeding Habitats </v>
      </c>
      <c r="C55" s="245" t="str">
        <f>F!C83</f>
        <v>During any 2 consecutive weeks of the growing season, the extent of mudflats, bare unshaded saturated areas not covered by thatch, and unshaded waters shallower than 6 cm is:  [Include also any area that is adjacent to the AA.]</v>
      </c>
      <c r="D55" s="186"/>
      <c r="E55" s="186"/>
      <c r="F55" s="208"/>
      <c r="G55" s="328">
        <f>MAX(F56:F59)/MAX(E56:E59)</f>
        <v>0</v>
      </c>
      <c r="H55" s="1693" t="s">
        <v>1523</v>
      </c>
      <c r="I55" s="1669" t="s">
        <v>201</v>
      </c>
    </row>
    <row r="56" spans="1:9" ht="15" customHeight="1" x14ac:dyDescent="0.2">
      <c r="A56" s="1714"/>
      <c r="B56" s="1696"/>
      <c r="C56" s="14" t="str">
        <f>F!C84</f>
        <v>None, or &lt;100 sq. m.</v>
      </c>
      <c r="D56" s="129">
        <f>F!D84</f>
        <v>0</v>
      </c>
      <c r="E56" s="187">
        <v>0</v>
      </c>
      <c r="F56" s="211">
        <f>D56*E56</f>
        <v>0</v>
      </c>
      <c r="G56" s="383"/>
      <c r="H56" s="1696"/>
      <c r="I56" s="1670"/>
    </row>
    <row r="57" spans="1:9" ht="15" customHeight="1" x14ac:dyDescent="0.2">
      <c r="A57" s="1714"/>
      <c r="B57" s="1696"/>
      <c r="C57" s="4" t="str">
        <f>F!C85</f>
        <v>100-1000 sq. m.</v>
      </c>
      <c r="D57" s="33">
        <f>F!D85</f>
        <v>0</v>
      </c>
      <c r="E57" s="187">
        <v>2</v>
      </c>
      <c r="F57" s="211">
        <f>D57*E57</f>
        <v>0</v>
      </c>
      <c r="G57" s="384"/>
      <c r="H57" s="1696"/>
      <c r="I57" s="1670"/>
    </row>
    <row r="58" spans="1:9" ht="15" customHeight="1" x14ac:dyDescent="0.2">
      <c r="A58" s="1714"/>
      <c r="B58" s="1696"/>
      <c r="C58" s="4" t="str">
        <f>F!C86</f>
        <v>1000 – 10,000 sq. m.</v>
      </c>
      <c r="D58" s="33">
        <f>F!D86</f>
        <v>0</v>
      </c>
      <c r="E58" s="187">
        <v>3</v>
      </c>
      <c r="F58" s="211">
        <f>D58*E58</f>
        <v>0</v>
      </c>
      <c r="G58" s="384"/>
      <c r="H58" s="1696"/>
      <c r="I58" s="1670"/>
    </row>
    <row r="59" spans="1:9" ht="15" customHeight="1" thickBot="1" x14ac:dyDescent="0.25">
      <c r="A59" s="1715"/>
      <c r="B59" s="1712"/>
      <c r="C59" s="85" t="str">
        <f>F!C87</f>
        <v xml:space="preserve">&gt;10,000 sq. m. </v>
      </c>
      <c r="D59" s="84">
        <f>F!D87</f>
        <v>0</v>
      </c>
      <c r="E59" s="188">
        <v>4</v>
      </c>
      <c r="F59" s="215">
        <f>D59*E59</f>
        <v>0</v>
      </c>
      <c r="G59" s="385"/>
      <c r="H59" s="1712"/>
      <c r="I59" s="1671"/>
    </row>
    <row r="60" spans="1:9" ht="30" customHeight="1" thickBot="1" x14ac:dyDescent="0.25">
      <c r="A60" s="1713" t="str">
        <f>F!A88</f>
        <v>F16</v>
      </c>
      <c r="B60" s="1693" t="str">
        <f>F!B88</f>
        <v>Herbaceous % of Vegetated Wetland</v>
      </c>
      <c r="C60" s="240" t="str">
        <f>F!C88</f>
        <v>In aerial ("ducks eye") view, the maximum annual cover of herbaceous vegetation (all non-woody plants except moss) is:</v>
      </c>
      <c r="D60" s="191"/>
      <c r="E60" s="191"/>
      <c r="F60" s="209"/>
      <c r="G60" s="327">
        <f>MAX(F61:F65)/MAX(E61:E65)</f>
        <v>0</v>
      </c>
      <c r="H60" s="1693" t="s">
        <v>1329</v>
      </c>
      <c r="I60" s="1669" t="s">
        <v>200</v>
      </c>
    </row>
    <row r="61" spans="1:9" ht="27" customHeight="1" x14ac:dyDescent="0.2">
      <c r="A61" s="1714"/>
      <c r="B61" s="1696"/>
      <c r="C61" s="14" t="str">
        <f>F!C89</f>
        <v>&lt;5% of the vegetated part of the AA or &lt;0.01 hectare (whichever is less). Mark "1" here and SKIP to F20 (Invasive Plant Cover).</v>
      </c>
      <c r="D61" s="129">
        <f>F!D89</f>
        <v>0</v>
      </c>
      <c r="E61" s="187">
        <v>0</v>
      </c>
      <c r="F61" s="211">
        <f>D61*E61</f>
        <v>0</v>
      </c>
      <c r="G61" s="383"/>
      <c r="H61" s="1696"/>
      <c r="I61" s="1670"/>
    </row>
    <row r="62" spans="1:9" ht="15" customHeight="1" x14ac:dyDescent="0.2">
      <c r="A62" s="1714"/>
      <c r="B62" s="1696"/>
      <c r="C62" s="4" t="str">
        <f>F!C90</f>
        <v>5-25% of the vegetated part of the AA.</v>
      </c>
      <c r="D62" s="33">
        <f>F!D90</f>
        <v>0</v>
      </c>
      <c r="E62" s="187">
        <v>2</v>
      </c>
      <c r="F62" s="211">
        <f>D62*E62</f>
        <v>0</v>
      </c>
      <c r="G62" s="384"/>
      <c r="H62" s="1696"/>
      <c r="I62" s="1670"/>
    </row>
    <row r="63" spans="1:9" ht="15" customHeight="1" x14ac:dyDescent="0.2">
      <c r="A63" s="1714"/>
      <c r="B63" s="1696"/>
      <c r="C63" s="4" t="str">
        <f>F!C91</f>
        <v>25-50% of the vegetated part of the AA.</v>
      </c>
      <c r="D63" s="33">
        <f>F!D91</f>
        <v>0</v>
      </c>
      <c r="E63" s="187">
        <v>3</v>
      </c>
      <c r="F63" s="211">
        <f>D63*E63</f>
        <v>0</v>
      </c>
      <c r="G63" s="384"/>
      <c r="H63" s="1696"/>
      <c r="I63" s="1670"/>
    </row>
    <row r="64" spans="1:9" ht="15" customHeight="1" x14ac:dyDescent="0.2">
      <c r="A64" s="1714"/>
      <c r="B64" s="1696"/>
      <c r="C64" s="4" t="str">
        <f>F!C92</f>
        <v>50-95% of the vegetated part of the AA.</v>
      </c>
      <c r="D64" s="33">
        <f>F!D92</f>
        <v>0</v>
      </c>
      <c r="E64" s="187">
        <v>4</v>
      </c>
      <c r="F64" s="211">
        <f>D64*E64</f>
        <v>0</v>
      </c>
      <c r="G64" s="384"/>
      <c r="H64" s="1696"/>
      <c r="I64" s="1670"/>
    </row>
    <row r="65" spans="1:9" ht="15" customHeight="1" thickBot="1" x14ac:dyDescent="0.25">
      <c r="A65" s="1715"/>
      <c r="B65" s="1712"/>
      <c r="C65" s="85" t="str">
        <f>F!C93</f>
        <v>&gt;95% of the vegetated part of the AA.</v>
      </c>
      <c r="D65" s="84">
        <f>F!D93</f>
        <v>0</v>
      </c>
      <c r="E65" s="188">
        <v>5</v>
      </c>
      <c r="F65" s="215">
        <f>D65*E65</f>
        <v>0</v>
      </c>
      <c r="G65" s="385"/>
      <c r="H65" s="1712"/>
      <c r="I65" s="1671"/>
    </row>
    <row r="66" spans="1:9" ht="64.5" customHeight="1" thickBot="1" x14ac:dyDescent="0.25">
      <c r="A66" s="397" t="str">
        <f>F!A119</f>
        <v>F22</v>
      </c>
      <c r="B66" s="68" t="str">
        <f>F!B119</f>
        <v>Fringe Wetland</v>
      </c>
      <c r="C66" s="2" t="str">
        <f>F!C119</f>
        <v>During most of the year, open water within or adjacent to the vegetated part of the wetland is much wider than the maximum width of the vegetated zone within the wetland. Enter "1" if true, "0" if false.</v>
      </c>
      <c r="D66" s="130">
        <f>F!D119</f>
        <v>0</v>
      </c>
      <c r="E66" s="206"/>
      <c r="F66" s="421"/>
      <c r="G66" s="221" t="str">
        <f>IF((D66=0),"",1)</f>
        <v/>
      </c>
      <c r="H66" s="434" t="s">
        <v>1642</v>
      </c>
      <c r="I66" s="36" t="s">
        <v>193</v>
      </c>
    </row>
    <row r="67" spans="1:9" ht="30" customHeight="1" thickBot="1" x14ac:dyDescent="0.25">
      <c r="A67" s="88" t="str">
        <f>F!A120</f>
        <v>F23</v>
      </c>
      <c r="B67" s="3" t="str">
        <f>F!B120</f>
        <v>Lacustrine Wetland</v>
      </c>
      <c r="C67" s="89" t="str">
        <f>F!C120</f>
        <v>The vegetated part of the AA is within or adjacent to a body of non-tidal standing open water whose size exceeds 8 hectares during most of a normal year.</v>
      </c>
      <c r="D67" s="155">
        <f>F!D120</f>
        <v>0</v>
      </c>
      <c r="E67" s="210"/>
      <c r="F67" s="210"/>
      <c r="G67" s="327">
        <f>D67</f>
        <v>0</v>
      </c>
      <c r="H67" s="36" t="s">
        <v>475</v>
      </c>
      <c r="I67" s="36" t="s">
        <v>1673</v>
      </c>
    </row>
    <row r="68" spans="1:9" ht="30" customHeight="1" thickBot="1" x14ac:dyDescent="0.25">
      <c r="A68" s="1721" t="str">
        <f>F!A121</f>
        <v>F24</v>
      </c>
      <c r="B68" s="1669" t="str">
        <f>F!B121</f>
        <v>% of AA Without Surface Water</v>
      </c>
      <c r="C68" s="240" t="str">
        <f>F!C121</f>
        <v>The percentage of the AA that never contains surface water during an average year (that is, except perhaps for a few hours after snowmelt or rainstorms), but which is still a wetland, is:</v>
      </c>
      <c r="D68" s="191"/>
      <c r="E68" s="202"/>
      <c r="F68" s="290"/>
      <c r="G68" s="327">
        <f>MAX(F69:F74)/MAX(E69:E74)</f>
        <v>0</v>
      </c>
      <c r="H68" s="1669" t="s">
        <v>65</v>
      </c>
      <c r="I68" s="1669" t="s">
        <v>658</v>
      </c>
    </row>
    <row r="69" spans="1:9" ht="27" customHeight="1" x14ac:dyDescent="0.2">
      <c r="A69" s="1703"/>
      <c r="B69" s="1670"/>
      <c r="C69" s="380" t="str">
        <f>F!C122</f>
        <v xml:space="preserve">&lt;1% . In other words, all or nearly all of the AA is covered by water permanently or at least seasonally.  </v>
      </c>
      <c r="D69" s="144">
        <f>F!D122</f>
        <v>0</v>
      </c>
      <c r="E69" s="187">
        <v>4</v>
      </c>
      <c r="F69" s="211">
        <f t="shared" ref="F69:F74" si="4">D69*E69</f>
        <v>0</v>
      </c>
      <c r="G69" s="383"/>
      <c r="H69" s="1670"/>
      <c r="I69" s="1670"/>
    </row>
    <row r="70" spans="1:9" ht="15" customHeight="1" x14ac:dyDescent="0.2">
      <c r="A70" s="1703"/>
      <c r="B70" s="1670"/>
      <c r="C70" s="380" t="str">
        <f>F!C123</f>
        <v>1-25% of the AA,  or &lt;1% but &gt;0.01 ha never contains surface water.</v>
      </c>
      <c r="D70" s="144">
        <f>F!D123</f>
        <v>0</v>
      </c>
      <c r="E70" s="187">
        <v>5</v>
      </c>
      <c r="F70" s="211">
        <f t="shared" si="4"/>
        <v>0</v>
      </c>
      <c r="G70" s="383"/>
      <c r="H70" s="1670"/>
      <c r="I70" s="1670"/>
    </row>
    <row r="71" spans="1:9" ht="15" customHeight="1" x14ac:dyDescent="0.2">
      <c r="A71" s="1703"/>
      <c r="B71" s="1670"/>
      <c r="C71" s="380" t="str">
        <f>F!C124</f>
        <v>25-50% of the AA never contains surface water.</v>
      </c>
      <c r="D71" s="144">
        <f>F!D124</f>
        <v>0</v>
      </c>
      <c r="E71" s="187">
        <v>3</v>
      </c>
      <c r="F71" s="211">
        <f t="shared" si="4"/>
        <v>0</v>
      </c>
      <c r="G71" s="383"/>
      <c r="H71" s="1670"/>
      <c r="I71" s="1670"/>
    </row>
    <row r="72" spans="1:9" ht="15" customHeight="1" x14ac:dyDescent="0.2">
      <c r="A72" s="1703"/>
      <c r="B72" s="1670"/>
      <c r="C72" s="380" t="str">
        <f>F!C125</f>
        <v>50-75% of the AA never contains surface water.</v>
      </c>
      <c r="D72" s="144">
        <f>F!D125</f>
        <v>0</v>
      </c>
      <c r="E72" s="187">
        <v>2</v>
      </c>
      <c r="F72" s="211">
        <f t="shared" si="4"/>
        <v>0</v>
      </c>
      <c r="G72" s="383"/>
      <c r="H72" s="1670"/>
      <c r="I72" s="1670"/>
    </row>
    <row r="73" spans="1:9" ht="26.25" customHeight="1" x14ac:dyDescent="0.2">
      <c r="A73" s="1703"/>
      <c r="B73" s="1670"/>
      <c r="C73" s="380" t="str">
        <f>F!C126</f>
        <v>75-99% of the AA never contains surface water, OR &gt;99% and there is at least one persistently ponded water body larger than 1 ha in the AA.</v>
      </c>
      <c r="D73" s="144">
        <f>F!D126</f>
        <v>0</v>
      </c>
      <c r="E73" s="187">
        <v>1</v>
      </c>
      <c r="F73" s="211">
        <f t="shared" si="4"/>
        <v>0</v>
      </c>
      <c r="G73" s="383"/>
      <c r="H73" s="1670"/>
      <c r="I73" s="1670"/>
    </row>
    <row r="74" spans="1:9" ht="27" customHeight="1" thickBot="1" x14ac:dyDescent="0.25">
      <c r="A74" s="1722"/>
      <c r="B74" s="1671"/>
      <c r="C74" s="626" t="str">
        <f>F!C127</f>
        <v>99-100%. AND there is no persistently ponded water body larger than 1 ha within the AA. Enter "1" and SKIP to F42 (Channel Connection).</v>
      </c>
      <c r="D74" s="935">
        <f>F!D127</f>
        <v>0</v>
      </c>
      <c r="E74" s="188">
        <v>0</v>
      </c>
      <c r="F74" s="215">
        <f t="shared" si="4"/>
        <v>0</v>
      </c>
      <c r="G74" s="432"/>
      <c r="H74" s="1671"/>
      <c r="I74" s="1671"/>
    </row>
    <row r="75" spans="1:9" ht="45" customHeight="1" thickBot="1" x14ac:dyDescent="0.25">
      <c r="A75" s="1703" t="str">
        <f>F!A128</f>
        <v>F25</v>
      </c>
      <c r="B75" s="1670" t="str">
        <f>F!B128</f>
        <v>% of AA with Persistent Surface Water</v>
      </c>
      <c r="C75" s="245" t="str">
        <f>F!C128</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75" s="186"/>
      <c r="E75" s="186"/>
      <c r="F75" s="208"/>
      <c r="G75" s="328">
        <f>IF((AllSat1&gt;0),"",MAX(F76:F80)/MAX(E76:E80))</f>
        <v>0</v>
      </c>
      <c r="H75" s="1696" t="s">
        <v>1644</v>
      </c>
      <c r="I75" s="1670" t="s">
        <v>195</v>
      </c>
    </row>
    <row r="76" spans="1:9" ht="27" customHeight="1" x14ac:dyDescent="0.2">
      <c r="A76" s="1703"/>
      <c r="B76" s="1670"/>
      <c r="C76" s="241" t="str">
        <f>F!C129</f>
        <v>None. The AA dries up completely (no water in channels either) or never has surface water during most years.  SKIP to F27.</v>
      </c>
      <c r="D76" s="128">
        <f>F!D129</f>
        <v>0</v>
      </c>
      <c r="E76" s="186">
        <v>0</v>
      </c>
      <c r="F76" s="211">
        <f>D76*E76</f>
        <v>0</v>
      </c>
      <c r="G76" s="384"/>
      <c r="H76" s="1696"/>
      <c r="I76" s="1670"/>
    </row>
    <row r="77" spans="1:9" ht="15" customHeight="1" x14ac:dyDescent="0.2">
      <c r="A77" s="1703"/>
      <c r="B77" s="1670"/>
      <c r="C77" s="241" t="str">
        <f>F!C130</f>
        <v>1-20% of the AA.</v>
      </c>
      <c r="D77" s="128">
        <f>F!D130</f>
        <v>0</v>
      </c>
      <c r="E77" s="187">
        <v>1</v>
      </c>
      <c r="F77" s="211">
        <f>D77*E77</f>
        <v>0</v>
      </c>
      <c r="G77" s="384"/>
      <c r="H77" s="1696"/>
      <c r="I77" s="1670"/>
    </row>
    <row r="78" spans="1:9" ht="15" customHeight="1" x14ac:dyDescent="0.2">
      <c r="A78" s="1703"/>
      <c r="B78" s="1670"/>
      <c r="C78" s="241" t="str">
        <f>F!C131</f>
        <v>20-50% of the AA.</v>
      </c>
      <c r="D78" s="128">
        <f>F!D131</f>
        <v>0</v>
      </c>
      <c r="E78" s="187">
        <v>2</v>
      </c>
      <c r="F78" s="211">
        <f>D78*E78</f>
        <v>0</v>
      </c>
      <c r="G78" s="384"/>
      <c r="H78" s="1696"/>
      <c r="I78" s="1670"/>
    </row>
    <row r="79" spans="1:9" ht="15" customHeight="1" x14ac:dyDescent="0.2">
      <c r="A79" s="1703"/>
      <c r="B79" s="1670"/>
      <c r="C79" s="241" t="str">
        <f>F!C132</f>
        <v>50-95% of the AA.</v>
      </c>
      <c r="D79" s="128">
        <f>F!D132</f>
        <v>0</v>
      </c>
      <c r="E79" s="187">
        <v>3</v>
      </c>
      <c r="F79" s="211">
        <f>D79*E79</f>
        <v>0</v>
      </c>
      <c r="G79" s="384"/>
      <c r="H79" s="1696"/>
      <c r="I79" s="1670"/>
    </row>
    <row r="80" spans="1:9" ht="15" customHeight="1" thickBot="1" x14ac:dyDescent="0.25">
      <c r="A80" s="1722"/>
      <c r="B80" s="1671"/>
      <c r="C80" s="85" t="str">
        <f>F!C133</f>
        <v>&gt;95% of the AA. True for many fringe wetlands.</v>
      </c>
      <c r="D80" s="84">
        <f>F!D133</f>
        <v>0</v>
      </c>
      <c r="E80" s="188">
        <v>2</v>
      </c>
      <c r="F80" s="215">
        <f>D80*E80</f>
        <v>0</v>
      </c>
      <c r="G80" s="385"/>
      <c r="H80" s="1712"/>
      <c r="I80" s="1671"/>
    </row>
    <row r="81" spans="1:9" ht="30" customHeight="1" thickBot="1" x14ac:dyDescent="0.25">
      <c r="A81" s="1853" t="str">
        <f>F!A140</f>
        <v>F27</v>
      </c>
      <c r="B81" s="1670" t="str">
        <f>F!B140</f>
        <v>% of AA that is Flooded Only Seasonally</v>
      </c>
      <c r="C81" s="245" t="str">
        <f>F!C140</f>
        <v>The percentage of the AA's area that is between the annual high water and the annual low water (surface water) is:</v>
      </c>
      <c r="D81" s="186"/>
      <c r="E81" s="186"/>
      <c r="F81" s="208"/>
      <c r="G81" s="328">
        <f>IF((AllSat1&gt;0),"",MAX(F82:F86)/MAX(E82:E86))</f>
        <v>0</v>
      </c>
      <c r="H81" s="1696" t="s">
        <v>1645</v>
      </c>
      <c r="I81" s="1669" t="s">
        <v>194</v>
      </c>
    </row>
    <row r="82" spans="1:9" ht="15" customHeight="1" x14ac:dyDescent="0.2">
      <c r="A82" s="1853"/>
      <c r="B82" s="1670"/>
      <c r="C82" s="222" t="str">
        <f>F!C141</f>
        <v>None, or &lt;0.01 hectare and &lt;1% of the AA.  SKIP to F29.</v>
      </c>
      <c r="D82" s="183">
        <f>F!D141</f>
        <v>0</v>
      </c>
      <c r="E82" s="187">
        <v>3</v>
      </c>
      <c r="F82" s="211">
        <f>D82*E82</f>
        <v>0</v>
      </c>
      <c r="G82" s="383"/>
      <c r="H82" s="1696"/>
      <c r="I82" s="1670"/>
    </row>
    <row r="83" spans="1:9" ht="15" customHeight="1" x14ac:dyDescent="0.2">
      <c r="A83" s="1853"/>
      <c r="B83" s="1670"/>
      <c r="C83" s="241" t="str">
        <f>F!C142</f>
        <v>1-20% of the AA, or &lt;1% but &gt;0.01 ha.</v>
      </c>
      <c r="D83" s="128">
        <f>F!D142</f>
        <v>0</v>
      </c>
      <c r="E83" s="187">
        <v>4</v>
      </c>
      <c r="F83" s="211">
        <f>D83*E83</f>
        <v>0</v>
      </c>
      <c r="G83" s="384"/>
      <c r="H83" s="1696"/>
      <c r="I83" s="1670"/>
    </row>
    <row r="84" spans="1:9" ht="15" customHeight="1" x14ac:dyDescent="0.2">
      <c r="A84" s="1853"/>
      <c r="B84" s="1670"/>
      <c r="C84" s="241" t="str">
        <f>F!C143</f>
        <v>20-50% of the AA.</v>
      </c>
      <c r="D84" s="128">
        <f>F!D143</f>
        <v>0</v>
      </c>
      <c r="E84" s="187">
        <v>3</v>
      </c>
      <c r="F84" s="211">
        <f>D84*E84</f>
        <v>0</v>
      </c>
      <c r="G84" s="384"/>
      <c r="H84" s="1696"/>
      <c r="I84" s="1670"/>
    </row>
    <row r="85" spans="1:9" ht="15" customHeight="1" x14ac:dyDescent="0.2">
      <c r="A85" s="1853"/>
      <c r="B85" s="1670"/>
      <c r="C85" s="241" t="str">
        <f>F!C144</f>
        <v>50-95% of the AA.</v>
      </c>
      <c r="D85" s="128">
        <f>F!D144</f>
        <v>0</v>
      </c>
      <c r="E85" s="187">
        <v>2</v>
      </c>
      <c r="F85" s="211">
        <f>D85*E85</f>
        <v>0</v>
      </c>
      <c r="G85" s="384"/>
      <c r="H85" s="1696"/>
      <c r="I85" s="1670"/>
    </row>
    <row r="86" spans="1:9" ht="15" customHeight="1" thickBot="1" x14ac:dyDescent="0.25">
      <c r="A86" s="1853"/>
      <c r="B86" s="1670"/>
      <c r="C86" s="241" t="str">
        <f>F!C145</f>
        <v xml:space="preserve">&gt;95% of the AA. </v>
      </c>
      <c r="D86" s="128">
        <f>F!D145</f>
        <v>0</v>
      </c>
      <c r="E86" s="190">
        <v>1</v>
      </c>
      <c r="F86" s="213">
        <f>D86*E86</f>
        <v>0</v>
      </c>
      <c r="G86" s="391"/>
      <c r="H86" s="1696"/>
      <c r="I86" s="1671"/>
    </row>
    <row r="87" spans="1:9" ht="30" customHeight="1" thickBot="1" x14ac:dyDescent="0.25">
      <c r="A87" s="1713" t="str">
        <f>F!A153</f>
        <v>F29</v>
      </c>
      <c r="B87" s="1693" t="str">
        <f>F!B153</f>
        <v>Predominant Depth Class</v>
      </c>
      <c r="C87" s="240" t="str">
        <f>F!C153</f>
        <v>During most of the time when surface water is present during the growing season, its depth, averaged over the entire inundated part of the AA, is:</v>
      </c>
      <c r="D87" s="191"/>
      <c r="E87" s="191"/>
      <c r="F87" s="209"/>
      <c r="G87" s="327">
        <f>IF((AllSat1&gt;0),"",MAX(F88:F92)/MAX(E88:E92))</f>
        <v>0</v>
      </c>
      <c r="H87" s="1693" t="s">
        <v>1206</v>
      </c>
      <c r="I87" s="1669" t="s">
        <v>198</v>
      </c>
    </row>
    <row r="88" spans="1:9" ht="15" customHeight="1" x14ac:dyDescent="0.2">
      <c r="A88" s="1714"/>
      <c r="B88" s="1696"/>
      <c r="C88" s="14" t="str">
        <f>F!C154</f>
        <v>&lt;10 cm deep (but &gt;0).</v>
      </c>
      <c r="D88" s="129">
        <f>F!D154</f>
        <v>0</v>
      </c>
      <c r="E88" s="40">
        <v>1</v>
      </c>
      <c r="F88" s="211">
        <f t="shared" ref="F88:F96" si="5">D88*E88</f>
        <v>0</v>
      </c>
      <c r="G88" s="383"/>
      <c r="H88" s="1696"/>
      <c r="I88" s="1670"/>
    </row>
    <row r="89" spans="1:9" ht="15" customHeight="1" x14ac:dyDescent="0.2">
      <c r="A89" s="1714"/>
      <c r="B89" s="1696"/>
      <c r="C89" s="4" t="str">
        <f>F!C155</f>
        <v>10 - 50 cm deep.</v>
      </c>
      <c r="D89" s="33">
        <f>F!D155</f>
        <v>0</v>
      </c>
      <c r="E89" s="44">
        <v>3</v>
      </c>
      <c r="F89" s="211">
        <f t="shared" si="5"/>
        <v>0</v>
      </c>
      <c r="G89" s="384"/>
      <c r="H89" s="1696"/>
      <c r="I89" s="1670"/>
    </row>
    <row r="90" spans="1:9" ht="15" customHeight="1" x14ac:dyDescent="0.2">
      <c r="A90" s="1714"/>
      <c r="B90" s="1696"/>
      <c r="C90" s="4" t="str">
        <f>F!C156</f>
        <v>0.5 - 1 m deep.</v>
      </c>
      <c r="D90" s="33">
        <f>F!D156</f>
        <v>0</v>
      </c>
      <c r="E90" s="44">
        <v>7</v>
      </c>
      <c r="F90" s="211">
        <f t="shared" si="5"/>
        <v>0</v>
      </c>
      <c r="G90" s="384"/>
      <c r="H90" s="1696"/>
      <c r="I90" s="1670"/>
    </row>
    <row r="91" spans="1:9" ht="15" customHeight="1" x14ac:dyDescent="0.2">
      <c r="A91" s="1714"/>
      <c r="B91" s="1696"/>
      <c r="C91" s="4" t="str">
        <f>F!C157</f>
        <v>1 - 2 m deep.</v>
      </c>
      <c r="D91" s="33">
        <f>F!D157</f>
        <v>0</v>
      </c>
      <c r="E91" s="44">
        <v>5</v>
      </c>
      <c r="F91" s="211">
        <f t="shared" si="5"/>
        <v>0</v>
      </c>
      <c r="G91" s="384"/>
      <c r="H91" s="1696"/>
      <c r="I91" s="1670"/>
    </row>
    <row r="92" spans="1:9" ht="15" customHeight="1" thickBot="1" x14ac:dyDescent="0.25">
      <c r="A92" s="1715"/>
      <c r="B92" s="1712"/>
      <c r="C92" s="85" t="str">
        <f>F!C158</f>
        <v>&gt;2 m deep. True for many fringe wetlands.</v>
      </c>
      <c r="D92" s="84">
        <f>F!D158</f>
        <v>0</v>
      </c>
      <c r="E92" s="103">
        <v>2</v>
      </c>
      <c r="F92" s="215">
        <f t="shared" si="5"/>
        <v>0</v>
      </c>
      <c r="G92" s="385"/>
      <c r="H92" s="1712"/>
      <c r="I92" s="1671"/>
    </row>
    <row r="93" spans="1:9" ht="21" customHeight="1" thickBot="1" x14ac:dyDescent="0.25">
      <c r="A93" s="1713" t="str">
        <f>F!A159</f>
        <v>F30</v>
      </c>
      <c r="B93" s="1693" t="str">
        <f>F!B159</f>
        <v>Depth Classes - Evenness of Proportions</v>
      </c>
      <c r="C93" s="240" t="str">
        <f>F!C159</f>
        <v>When present, surface water in most of the AA usually consists of (select one):</v>
      </c>
      <c r="D93" s="191"/>
      <c r="E93" s="191"/>
      <c r="F93" s="681"/>
      <c r="G93" s="327">
        <f>IF((AllSat1&gt;0),"",MAX(F94:F96)/MAX(E94:E96))</f>
        <v>0</v>
      </c>
      <c r="H93" s="1693" t="s">
        <v>1207</v>
      </c>
      <c r="I93" s="1669" t="s">
        <v>2861</v>
      </c>
    </row>
    <row r="94" spans="1:9" ht="27.75" customHeight="1" x14ac:dyDescent="0.2">
      <c r="A94" s="1714"/>
      <c r="B94" s="1696"/>
      <c r="C94" s="14" t="str">
        <f>F!C160</f>
        <v xml:space="preserve">One depth class that comprises &gt;90% of the AA’s inundated area (use the classes in the question above). </v>
      </c>
      <c r="D94" s="129">
        <f>F!D160</f>
        <v>0</v>
      </c>
      <c r="E94" s="187">
        <v>0</v>
      </c>
      <c r="F94" s="465">
        <f>D93*E93</f>
        <v>0</v>
      </c>
      <c r="G94" s="383"/>
      <c r="H94" s="1696"/>
      <c r="I94" s="1670"/>
    </row>
    <row r="95" spans="1:9" ht="15" customHeight="1" x14ac:dyDescent="0.2">
      <c r="A95" s="1714"/>
      <c r="B95" s="1696"/>
      <c r="C95" s="4" t="str">
        <f>F!C161</f>
        <v>One depth class that comprises 50-90% of the AA's inundated area.</v>
      </c>
      <c r="D95" s="33">
        <f>F!D161</f>
        <v>0</v>
      </c>
      <c r="E95" s="35">
        <v>1</v>
      </c>
      <c r="F95" s="211">
        <f t="shared" si="5"/>
        <v>0</v>
      </c>
      <c r="G95" s="384"/>
      <c r="H95" s="1696"/>
      <c r="I95" s="1670"/>
    </row>
    <row r="96" spans="1:9" ht="15" customHeight="1" thickBot="1" x14ac:dyDescent="0.25">
      <c r="A96" s="1715"/>
      <c r="B96" s="1712"/>
      <c r="C96" s="85" t="str">
        <f>F!C162</f>
        <v>Neither of above. There are 3 or more depth classes and none occupy &gt;50%.</v>
      </c>
      <c r="D96" s="84">
        <f>F!D162</f>
        <v>0</v>
      </c>
      <c r="E96" s="112">
        <v>2</v>
      </c>
      <c r="F96" s="215">
        <f t="shared" si="5"/>
        <v>0</v>
      </c>
      <c r="G96" s="385"/>
      <c r="H96" s="1712"/>
      <c r="I96" s="1671"/>
    </row>
    <row r="97" spans="1:9" ht="45" customHeight="1" thickBot="1" x14ac:dyDescent="0.25">
      <c r="A97" s="2009" t="str">
        <f>F!A163</f>
        <v>F31</v>
      </c>
      <c r="B97" s="1693" t="str">
        <f>F!B163</f>
        <v>% of Water That Is Ponded (not Flowing)</v>
      </c>
      <c r="C97" s="240" t="str">
        <f>F!C163</f>
        <v>During most times when surface water is present, the percentage that is (1) ponded (stagnant, or flows so slowly that fine sediment is not held in suspension) AND (2) is likely to be deeper than 0.5 m in some places, is:</v>
      </c>
      <c r="D97" s="191"/>
      <c r="E97" s="191"/>
      <c r="F97" s="209"/>
      <c r="G97" s="327">
        <f>IF((AllSat1&gt;0),"", MAX(F98:F102)/MAX(E98:E102))</f>
        <v>0</v>
      </c>
      <c r="H97" s="1693" t="s">
        <v>1643</v>
      </c>
      <c r="I97" s="1669" t="s">
        <v>197</v>
      </c>
    </row>
    <row r="98" spans="1:9" ht="15" customHeight="1" x14ac:dyDescent="0.2">
      <c r="A98" s="1714"/>
      <c r="B98" s="1696"/>
      <c r="C98" s="14" t="str">
        <f>F!C164</f>
        <v>&lt;5% of the water, or it occupies &lt;100 sq.m cumulatively. Nearly all the surface water is flowing. SKIP to F34.</v>
      </c>
      <c r="D98" s="145">
        <f>F!D164</f>
        <v>0</v>
      </c>
      <c r="E98" s="187">
        <v>0</v>
      </c>
      <c r="F98" s="211">
        <f>D98*E98</f>
        <v>0</v>
      </c>
      <c r="G98" s="383"/>
      <c r="H98" s="1696"/>
      <c r="I98" s="1670"/>
    </row>
    <row r="99" spans="1:9" ht="15" customHeight="1" x14ac:dyDescent="0.2">
      <c r="A99" s="1714"/>
      <c r="B99" s="1696"/>
      <c r="C99" s="4" t="str">
        <f>F!C165</f>
        <v>5-30% of the water.</v>
      </c>
      <c r="D99" s="146">
        <f>F!D165</f>
        <v>0</v>
      </c>
      <c r="E99" s="187">
        <v>3</v>
      </c>
      <c r="F99" s="211">
        <f>D99*E99</f>
        <v>0</v>
      </c>
      <c r="G99" s="384"/>
      <c r="H99" s="1696"/>
      <c r="I99" s="1670"/>
    </row>
    <row r="100" spans="1:9" ht="15" customHeight="1" x14ac:dyDescent="0.2">
      <c r="A100" s="1714"/>
      <c r="B100" s="1696"/>
      <c r="C100" s="4" t="str">
        <f>F!C166</f>
        <v>30-70% of the water.</v>
      </c>
      <c r="D100" s="146">
        <f>F!D166</f>
        <v>0</v>
      </c>
      <c r="E100" s="187">
        <v>4</v>
      </c>
      <c r="F100" s="211">
        <f>D100*E100</f>
        <v>0</v>
      </c>
      <c r="G100" s="391"/>
      <c r="H100" s="1696"/>
      <c r="I100" s="1670"/>
    </row>
    <row r="101" spans="1:9" ht="15" customHeight="1" x14ac:dyDescent="0.2">
      <c r="A101" s="1714"/>
      <c r="B101" s="1696"/>
      <c r="C101" s="4" t="str">
        <f>F!C167</f>
        <v>70-95% of the water.</v>
      </c>
      <c r="D101" s="146">
        <f>F!D167</f>
        <v>0</v>
      </c>
      <c r="E101" s="187">
        <v>5</v>
      </c>
      <c r="F101" s="211">
        <f>D101*E101</f>
        <v>0</v>
      </c>
      <c r="G101" s="391"/>
      <c r="H101" s="1696"/>
      <c r="I101" s="1670"/>
    </row>
    <row r="102" spans="1:9" ht="15" customHeight="1" thickBot="1" x14ac:dyDescent="0.25">
      <c r="A102" s="1715"/>
      <c r="B102" s="1712"/>
      <c r="C102" s="85" t="str">
        <f>F!C168</f>
        <v>&gt;95% of the water.</v>
      </c>
      <c r="D102" s="147">
        <f>F!D168</f>
        <v>0</v>
      </c>
      <c r="E102" s="188">
        <v>5</v>
      </c>
      <c r="F102" s="215">
        <f>D102*E102</f>
        <v>0</v>
      </c>
      <c r="G102" s="385"/>
      <c r="H102" s="1712"/>
      <c r="I102" s="1671"/>
    </row>
    <row r="103" spans="1:9" ht="30" customHeight="1" thickBot="1" x14ac:dyDescent="0.25">
      <c r="A103" s="1853" t="str">
        <f>F!A170</f>
        <v>F33</v>
      </c>
      <c r="B103" s="1670" t="str">
        <f>F!B170</f>
        <v xml:space="preserve">% of Ponded Water that is Open </v>
      </c>
      <c r="C103" s="3" t="str">
        <f>F!C170</f>
        <v>In ducks-eye aerial view, the percentage of the ponded water that is open (lacking emergent vegetation during most of the growing season, and unhidden by a forest or shrub canopy) is:</v>
      </c>
      <c r="D103" s="205"/>
      <c r="E103" s="186"/>
      <c r="F103" s="208"/>
      <c r="G103" s="328">
        <f>IF((AllSat1&gt;0),"",IF((NoPonded=1),"",MAX(F104:F109)/MAX(E104:E109)))</f>
        <v>0</v>
      </c>
      <c r="H103" s="1696" t="s">
        <v>1647</v>
      </c>
      <c r="I103" s="1669" t="s">
        <v>196</v>
      </c>
    </row>
    <row r="104" spans="1:9" ht="27" customHeight="1" x14ac:dyDescent="0.2">
      <c r="A104" s="1853"/>
      <c r="B104" s="1670"/>
      <c r="C104" s="813" t="str">
        <f>F!C171</f>
        <v>None, or &lt;1% of the AA and largest pool occupies &lt;0.01 hectares. Enter "1" and SKIP to F41 (Floating Algae &amp; Duckweed).</v>
      </c>
      <c r="D104" s="128">
        <f>F!D171</f>
        <v>0</v>
      </c>
      <c r="E104" s="187">
        <v>1</v>
      </c>
      <c r="F104" s="211">
        <f t="shared" ref="F104:F109" si="6">D104*E104</f>
        <v>0</v>
      </c>
      <c r="G104" s="383"/>
      <c r="H104" s="1696"/>
      <c r="I104" s="1670"/>
    </row>
    <row r="105" spans="1:9" ht="15" customHeight="1" x14ac:dyDescent="0.2">
      <c r="A105" s="1853"/>
      <c r="B105" s="1670"/>
      <c r="C105" s="676" t="str">
        <f>F!C172</f>
        <v>1-4% of the ponded water. Enter "1" and SKIP to F41 (Floating Algae &amp; Duckweed).</v>
      </c>
      <c r="D105" s="128">
        <f>F!D172</f>
        <v>0</v>
      </c>
      <c r="E105" s="187">
        <v>2</v>
      </c>
      <c r="F105" s="211">
        <f t="shared" si="6"/>
        <v>0</v>
      </c>
      <c r="G105" s="384"/>
      <c r="H105" s="1696"/>
      <c r="I105" s="1670"/>
    </row>
    <row r="106" spans="1:9" ht="15" customHeight="1" x14ac:dyDescent="0.2">
      <c r="A106" s="1853"/>
      <c r="B106" s="1670"/>
      <c r="C106" s="628" t="str">
        <f>F!C173</f>
        <v>5-30% of the ponded water.</v>
      </c>
      <c r="D106" s="33">
        <f>F!D173</f>
        <v>0</v>
      </c>
      <c r="E106" s="187">
        <v>5</v>
      </c>
      <c r="F106" s="211">
        <f t="shared" si="6"/>
        <v>0</v>
      </c>
      <c r="G106" s="384"/>
      <c r="H106" s="1696"/>
      <c r="I106" s="1670"/>
    </row>
    <row r="107" spans="1:9" ht="15" customHeight="1" x14ac:dyDescent="0.2">
      <c r="A107" s="1853"/>
      <c r="B107" s="1670"/>
      <c r="C107" s="222" t="str">
        <f>F!C174</f>
        <v>30-70% of the ponded water.</v>
      </c>
      <c r="D107" s="183">
        <f>F!D174</f>
        <v>0</v>
      </c>
      <c r="E107" s="187">
        <v>7</v>
      </c>
      <c r="F107" s="211">
        <f t="shared" si="6"/>
        <v>0</v>
      </c>
      <c r="G107" s="384"/>
      <c r="H107" s="1696"/>
      <c r="I107" s="1670"/>
    </row>
    <row r="108" spans="1:9" ht="15" customHeight="1" x14ac:dyDescent="0.2">
      <c r="A108" s="1853"/>
      <c r="B108" s="1670"/>
      <c r="C108" s="811" t="str">
        <f>F!C175</f>
        <v>70-99% of the ponded water.</v>
      </c>
      <c r="D108" s="128">
        <f>F!D175</f>
        <v>0</v>
      </c>
      <c r="E108" s="187">
        <v>4</v>
      </c>
      <c r="F108" s="211">
        <f t="shared" si="6"/>
        <v>0</v>
      </c>
      <c r="G108" s="391"/>
      <c r="H108" s="1696"/>
      <c r="I108" s="1670"/>
    </row>
    <row r="109" spans="1:9" ht="15" customHeight="1" thickBot="1" x14ac:dyDescent="0.25">
      <c r="A109" s="2029"/>
      <c r="B109" s="1671"/>
      <c r="C109" s="677" t="str">
        <f>F!C176</f>
        <v xml:space="preserve">100% of the ponded water. </v>
      </c>
      <c r="D109" s="84">
        <f>F!D176</f>
        <v>0</v>
      </c>
      <c r="E109" s="206">
        <v>3</v>
      </c>
      <c r="F109" s="213">
        <f t="shared" si="6"/>
        <v>0</v>
      </c>
      <c r="G109" s="391"/>
      <c r="H109" s="1696"/>
      <c r="I109" s="1671"/>
    </row>
    <row r="110" spans="1:9" ht="33" customHeight="1" thickBot="1" x14ac:dyDescent="0.25">
      <c r="A110" s="1862" t="str">
        <f>F!A195</f>
        <v>F37</v>
      </c>
      <c r="B110" s="1666" t="str">
        <f>F!B195</f>
        <v>Interspersion of Emergents &amp; Open Water</v>
      </c>
      <c r="C110" s="240" t="str">
        <f>F!C195</f>
        <v>During most of the part of the growing season when water is present, the spatial pattern of emergent vegetation within the water is mostly:</v>
      </c>
      <c r="D110" s="191"/>
      <c r="E110" s="191"/>
      <c r="F110" s="209"/>
      <c r="G110" s="327">
        <f>IF((AllSat1&gt;0),"",IF((NoPonded=1),"",IF((NoOpenPonded+NoOpenPonded1&gt;0),"",IF((AllOpenPond=1),"",IF((NoRobustEm=1),"",MAX(F111:F113)/MAX(E111:E113))))))</f>
        <v>0</v>
      </c>
      <c r="H110" s="1669" t="s">
        <v>1648</v>
      </c>
      <c r="I110" s="1669" t="s">
        <v>199</v>
      </c>
    </row>
    <row r="111" spans="1:9" ht="18" customHeight="1" x14ac:dyDescent="0.2">
      <c r="A111" s="1703"/>
      <c r="B111" s="1670"/>
      <c r="C111" s="14" t="str">
        <f>F!C196</f>
        <v>Scattered. More than 30% of such vegetation forms small islands or corridors surrounded by water.</v>
      </c>
      <c r="D111" s="129">
        <f>F!D196</f>
        <v>0</v>
      </c>
      <c r="E111" s="187">
        <v>3</v>
      </c>
      <c r="F111" s="211">
        <f>D111*E111</f>
        <v>0</v>
      </c>
      <c r="G111" s="465"/>
      <c r="H111" s="1670"/>
      <c r="I111" s="1670"/>
    </row>
    <row r="112" spans="1:9" ht="18" customHeight="1" x14ac:dyDescent="0.2">
      <c r="A112" s="1703"/>
      <c r="B112" s="1670"/>
      <c r="C112" s="4" t="str">
        <f>F!C197</f>
        <v>Intermediate.</v>
      </c>
      <c r="D112" s="33">
        <f>F!D197</f>
        <v>0</v>
      </c>
      <c r="E112" s="187">
        <v>2</v>
      </c>
      <c r="F112" s="211">
        <f>D112*E112</f>
        <v>0</v>
      </c>
      <c r="G112" s="465"/>
      <c r="H112" s="1670"/>
      <c r="I112" s="1670"/>
    </row>
    <row r="113" spans="1:9" ht="30" customHeight="1" thickBot="1" x14ac:dyDescent="0.25">
      <c r="A113" s="1722"/>
      <c r="B113" s="1671"/>
      <c r="C113" s="85" t="str">
        <f>F!C198</f>
        <v>Clumped. More than 70% of such vegetation is in bands along the wetland perimeter or is clumped at one or a few sides of the surface water area.</v>
      </c>
      <c r="D113" s="84">
        <f>F!D198</f>
        <v>0</v>
      </c>
      <c r="E113" s="188">
        <v>1</v>
      </c>
      <c r="F113" s="215">
        <f>D113*E113</f>
        <v>0</v>
      </c>
      <c r="G113" s="466"/>
      <c r="H113" s="1671"/>
      <c r="I113" s="1671"/>
    </row>
    <row r="114" spans="1:9" ht="66" customHeight="1" thickBot="1" x14ac:dyDescent="0.25">
      <c r="A114" s="1281" t="str">
        <f>F!A205</f>
        <v>F41</v>
      </c>
      <c r="B114" s="435" t="str">
        <f>F!B205</f>
        <v xml:space="preserve">Floating Algae &amp; Duckweed </v>
      </c>
      <c r="C114" s="599" t="str">
        <f>F!C205</f>
        <v>At some time of the year, mats of algae and/or duckweed are likely to cover &gt;50% of the AA's otherwise-unshaded water surface, or blanket &gt;50% of the underwater substrate. If true, enter "1" in next column. If untrue or uncertain, enter "0".</v>
      </c>
      <c r="D114" s="1359">
        <f>F!D205</f>
        <v>0</v>
      </c>
      <c r="E114" s="390"/>
      <c r="F114" s="679"/>
      <c r="G114" s="1072" t="str">
        <f>IF((AllSat1&gt;0),"",IF((NoPonded=1),"",IF((DeepPersis=0),"",1)))</f>
        <v/>
      </c>
      <c r="H114" s="435" t="s">
        <v>1649</v>
      </c>
      <c r="I114" s="120" t="s">
        <v>1032</v>
      </c>
    </row>
    <row r="115" spans="1:9" ht="21" customHeight="1" thickBot="1" x14ac:dyDescent="0.25">
      <c r="A115" s="1721" t="str">
        <f>F!A224</f>
        <v>F47</v>
      </c>
      <c r="B115" s="1669" t="str">
        <f>F!B224</f>
        <v>pH Measurement</v>
      </c>
      <c r="C115" s="3" t="str">
        <f>F!C224</f>
        <v>The pH in most of the AA's surface water:</v>
      </c>
      <c r="D115" s="752"/>
      <c r="E115" s="191"/>
      <c r="F115" s="209"/>
      <c r="G115" s="400">
        <f>IF((D118=1),"",IF((D117=1),0.5,IF((D116&gt;0&lt;4),0,IF((D116&gt;=4&lt;=7.5),0.5,1))))</f>
        <v>1</v>
      </c>
      <c r="H115" s="1669" t="s">
        <v>2600</v>
      </c>
      <c r="I115" s="1669" t="s">
        <v>2595</v>
      </c>
    </row>
    <row r="116" spans="1:9" ht="15" customHeight="1" thickBot="1" x14ac:dyDescent="0.25">
      <c r="A116" s="1703"/>
      <c r="B116" s="1670"/>
      <c r="C116" s="380" t="str">
        <f>F!C225</f>
        <v>Was measured, and is:  [enter the reading in the column to the right.]</v>
      </c>
      <c r="D116" s="1425" t="str">
        <f>IF((F!D225=""),"",F!D225)</f>
        <v/>
      </c>
      <c r="E116" s="203"/>
      <c r="F116" s="211"/>
      <c r="G116" s="189"/>
      <c r="H116" s="1670"/>
      <c r="I116" s="1670"/>
    </row>
    <row r="117" spans="1:9" ht="27" customHeight="1" x14ac:dyDescent="0.2">
      <c r="A117" s="1703"/>
      <c r="B117" s="1670"/>
      <c r="C117" s="4" t="str">
        <f>F!C226</f>
        <v xml:space="preserve">Was not measured but surface water is present and is darkly tea-coloured.  Or if no surface water, then mosses and plants that indicate peatland (e.g., Labrador tea) are prevalent. Enter "1". </v>
      </c>
      <c r="D117" s="129">
        <f>F!D226</f>
        <v>0</v>
      </c>
      <c r="E117" s="187"/>
      <c r="F117" s="211"/>
      <c r="G117" s="212"/>
      <c r="H117" s="1670"/>
      <c r="I117" s="1670"/>
    </row>
    <row r="118" spans="1:9" ht="15" customHeight="1" thickBot="1" x14ac:dyDescent="0.25">
      <c r="A118" s="1722"/>
      <c r="B118" s="1671"/>
      <c r="C118" s="85" t="str">
        <f>F!C227</f>
        <v>Neither of above. Enter "1".</v>
      </c>
      <c r="D118" s="84">
        <f>F!D227</f>
        <v>0</v>
      </c>
      <c r="E118" s="188"/>
      <c r="F118" s="215"/>
      <c r="G118" s="216"/>
      <c r="H118" s="1671"/>
      <c r="I118" s="1671"/>
    </row>
    <row r="119" spans="1:9" ht="21" customHeight="1" thickBot="1" x14ac:dyDescent="0.25">
      <c r="A119" s="1703" t="str">
        <f>F!A233</f>
        <v>F49</v>
      </c>
      <c r="B119" s="1670" t="str">
        <f>F!B233</f>
        <v>Beaver Probability</v>
      </c>
      <c r="C119" s="245" t="str">
        <f>F!C233</f>
        <v>Use of the AA by beaver during the past 5 years is (select most applicable ONE):</v>
      </c>
      <c r="D119" s="186"/>
      <c r="E119" s="186"/>
      <c r="F119" s="208"/>
      <c r="G119" s="328">
        <f>IF((AllSat1&gt;0),"", MAX(F120:F122)/MAX(E120:E122))</f>
        <v>0</v>
      </c>
      <c r="H119" s="1805" t="s">
        <v>2594</v>
      </c>
      <c r="I119" s="1670" t="s">
        <v>212</v>
      </c>
    </row>
    <row r="120" spans="1:9" ht="27" customHeight="1" x14ac:dyDescent="0.2">
      <c r="A120" s="1703"/>
      <c r="B120" s="1670"/>
      <c r="C120" s="14" t="str">
        <f>F!C234</f>
        <v>Evident from direct observation or presence of gnawed limbs, dams, tracks, dens, lodges, or extensive stands of water-killed trees (snags).</v>
      </c>
      <c r="D120" s="129">
        <f>F!D234</f>
        <v>0</v>
      </c>
      <c r="E120" s="186">
        <v>3</v>
      </c>
      <c r="F120" s="211">
        <f>D120*E120</f>
        <v>0</v>
      </c>
      <c r="G120" s="383"/>
      <c r="H120" s="1803"/>
      <c r="I120" s="1670"/>
    </row>
    <row r="121" spans="1:9" ht="52.5" customHeight="1" x14ac:dyDescent="0.2">
      <c r="A121" s="1703"/>
      <c r="B121" s="1670"/>
      <c r="C121" s="4" t="str">
        <f>F!C235</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121" s="33">
        <f>F!D235</f>
        <v>0</v>
      </c>
      <c r="E121" s="186">
        <v>2</v>
      </c>
      <c r="F121" s="211">
        <f>D121*E121</f>
        <v>0</v>
      </c>
      <c r="G121" s="384"/>
      <c r="H121" s="1803"/>
      <c r="I121" s="1670"/>
    </row>
    <row r="122" spans="1:9" ht="27" customHeight="1" thickBot="1" x14ac:dyDescent="0.25">
      <c r="A122" s="1703"/>
      <c r="B122" s="1670"/>
      <c r="C122" s="241" t="str">
        <f>F!C236</f>
        <v xml:space="preserve">Unlikely because site characteristics above are deficient, and/or this is a settled area or other area where beaver are routinely removed. </v>
      </c>
      <c r="D122" s="128">
        <f>F!D236</f>
        <v>0</v>
      </c>
      <c r="E122" s="206">
        <v>0</v>
      </c>
      <c r="F122" s="213">
        <f>D122*E122</f>
        <v>0</v>
      </c>
      <c r="G122" s="391"/>
      <c r="H122" s="1806"/>
      <c r="I122" s="1671"/>
    </row>
    <row r="123" spans="1:9" ht="21" customHeight="1" thickBot="1" x14ac:dyDescent="0.25">
      <c r="A123" s="1693" t="str">
        <f>F!A241</f>
        <v>F51</v>
      </c>
      <c r="B123" s="1693" t="str">
        <f>F!B241</f>
        <v>Internal Gradient</v>
      </c>
      <c r="C123" s="240" t="str">
        <f>F!C241</f>
        <v>The gradient along most of the flow path within the AA is:</v>
      </c>
      <c r="D123" s="390"/>
      <c r="E123" s="191"/>
      <c r="F123" s="209"/>
      <c r="G123" s="327">
        <f>MAX(F124:F127)/MAX(E124:E127)</f>
        <v>0</v>
      </c>
      <c r="H123" s="1693" t="s">
        <v>9</v>
      </c>
      <c r="I123" s="1669" t="s">
        <v>202</v>
      </c>
    </row>
    <row r="124" spans="1:9" ht="15" customHeight="1" x14ac:dyDescent="0.2">
      <c r="A124" s="1696"/>
      <c r="B124" s="1696"/>
      <c r="C124" s="901" t="str">
        <f>F!C242</f>
        <v>&lt;2% or the AA has no surface water outlet (not even seasonally).</v>
      </c>
      <c r="D124" s="33">
        <f>F!D242</f>
        <v>0</v>
      </c>
      <c r="E124" s="203">
        <v>4</v>
      </c>
      <c r="F124" s="211">
        <f>D124*E124</f>
        <v>0</v>
      </c>
      <c r="G124" s="306"/>
      <c r="H124" s="1696"/>
      <c r="I124" s="1670"/>
    </row>
    <row r="125" spans="1:9" ht="15" customHeight="1" x14ac:dyDescent="0.2">
      <c r="A125" s="1696"/>
      <c r="B125" s="1696"/>
      <c r="C125" s="628" t="str">
        <f>F!C243</f>
        <v>2-5%.</v>
      </c>
      <c r="D125" s="33">
        <f>F!D243</f>
        <v>0</v>
      </c>
      <c r="E125" s="203">
        <v>2</v>
      </c>
      <c r="F125" s="211">
        <f>D125*E125</f>
        <v>0</v>
      </c>
      <c r="G125" s="300"/>
      <c r="H125" s="1696"/>
      <c r="I125" s="1670"/>
    </row>
    <row r="126" spans="1:9" ht="15" customHeight="1" x14ac:dyDescent="0.2">
      <c r="A126" s="1696"/>
      <c r="B126" s="1696"/>
      <c r="C126" s="812" t="str">
        <f>F!C244</f>
        <v>6-10%.</v>
      </c>
      <c r="D126" s="33">
        <f>F!D244</f>
        <v>0</v>
      </c>
      <c r="E126" s="203">
        <v>1</v>
      </c>
      <c r="F126" s="211">
        <f>D126*E126</f>
        <v>0</v>
      </c>
      <c r="G126" s="300"/>
      <c r="H126" s="1696"/>
      <c r="I126" s="1670"/>
    </row>
    <row r="127" spans="1:9" ht="15" customHeight="1" thickBot="1" x14ac:dyDescent="0.25">
      <c r="A127" s="1712"/>
      <c r="B127" s="1712"/>
      <c r="C127" s="677" t="str">
        <f>F!C245</f>
        <v>&gt;10%.</v>
      </c>
      <c r="D127" s="84">
        <f>F!D245</f>
        <v>0</v>
      </c>
      <c r="E127" s="204">
        <v>0</v>
      </c>
      <c r="F127" s="215">
        <f>D127*E127</f>
        <v>0</v>
      </c>
      <c r="G127" s="312"/>
      <c r="H127" s="1712"/>
      <c r="I127" s="1671"/>
    </row>
    <row r="128" spans="1:9" ht="69.75" customHeight="1" thickBot="1" x14ac:dyDescent="0.25">
      <c r="A128" s="1693" t="str">
        <f>F!A282</f>
        <v>F60</v>
      </c>
      <c r="B128" s="1693" t="str">
        <f>F!B282</f>
        <v xml:space="preserve">Unvisited Core Area </v>
      </c>
      <c r="C128" s="240" t="str">
        <f>F!C282</f>
        <v>The percentage of the AA almost never visited by humans during an average growing season probably comprises: [Note: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v>
      </c>
      <c r="D128" s="390"/>
      <c r="E128" s="290"/>
      <c r="F128" s="209"/>
      <c r="G128" s="327">
        <f>MAX(F129:F134)/MAX(E129:E134)</f>
        <v>0</v>
      </c>
      <c r="H128" s="1693" t="s">
        <v>1469</v>
      </c>
      <c r="I128" s="1669" t="s">
        <v>203</v>
      </c>
    </row>
    <row r="129" spans="1:9" ht="15" customHeight="1" x14ac:dyDescent="0.2">
      <c r="A129" s="1696"/>
      <c r="B129" s="1696"/>
      <c r="C129" s="813" t="str">
        <f>F!C283</f>
        <v>&lt;5% and no inhabited building is within 100 m of the AA.</v>
      </c>
      <c r="D129" s="33">
        <f>F!D283</f>
        <v>0</v>
      </c>
      <c r="E129" s="211">
        <v>1</v>
      </c>
      <c r="F129" s="211">
        <f t="shared" ref="F129:F134" si="7">D129*E129</f>
        <v>0</v>
      </c>
      <c r="G129" s="292"/>
      <c r="H129" s="1696"/>
      <c r="I129" s="1670"/>
    </row>
    <row r="130" spans="1:9" ht="15" customHeight="1" x14ac:dyDescent="0.2">
      <c r="A130" s="1696"/>
      <c r="B130" s="1696"/>
      <c r="C130" s="4" t="str">
        <f>F!C284</f>
        <v>&lt;5% and inhabited building is within 100 m of the AA.</v>
      </c>
      <c r="D130" s="33">
        <f>F!D284</f>
        <v>0</v>
      </c>
      <c r="E130" s="211">
        <v>0</v>
      </c>
      <c r="F130" s="211">
        <f t="shared" si="7"/>
        <v>0</v>
      </c>
      <c r="G130" s="293"/>
      <c r="H130" s="1696"/>
      <c r="I130" s="1670"/>
    </row>
    <row r="131" spans="1:9" ht="15" customHeight="1" x14ac:dyDescent="0.2">
      <c r="A131" s="1696"/>
      <c r="B131" s="1696"/>
      <c r="C131" s="4" t="str">
        <f>F!C285</f>
        <v>5-50% and no inhabited building is within 100 m of the AA.</v>
      </c>
      <c r="D131" s="33">
        <f>F!D285</f>
        <v>0</v>
      </c>
      <c r="E131" s="211">
        <v>3</v>
      </c>
      <c r="F131" s="211">
        <f t="shared" si="7"/>
        <v>0</v>
      </c>
      <c r="G131" s="293"/>
      <c r="H131" s="1696"/>
      <c r="I131" s="1670"/>
    </row>
    <row r="132" spans="1:9" ht="15" customHeight="1" x14ac:dyDescent="0.2">
      <c r="A132" s="1696"/>
      <c r="B132" s="1696"/>
      <c r="C132" s="4" t="str">
        <f>F!C286</f>
        <v>5-50% and inhabited building is within 100 m of the AA.</v>
      </c>
      <c r="D132" s="33">
        <f>F!D286</f>
        <v>0</v>
      </c>
      <c r="E132" s="211">
        <v>2</v>
      </c>
      <c r="F132" s="211">
        <f t="shared" si="7"/>
        <v>0</v>
      </c>
      <c r="G132" s="293"/>
      <c r="H132" s="1696"/>
      <c r="I132" s="1670"/>
    </row>
    <row r="133" spans="1:9" ht="15" customHeight="1" x14ac:dyDescent="0.2">
      <c r="A133" s="1696"/>
      <c r="B133" s="1696"/>
      <c r="C133" s="4" t="str">
        <f>F!C287</f>
        <v>50-95%, with or without inhabited building nearby.</v>
      </c>
      <c r="D133" s="33">
        <f>F!D287</f>
        <v>0</v>
      </c>
      <c r="E133" s="211">
        <v>4</v>
      </c>
      <c r="F133" s="211">
        <f t="shared" si="7"/>
        <v>0</v>
      </c>
      <c r="G133" s="293"/>
      <c r="H133" s="1696"/>
      <c r="I133" s="1670"/>
    </row>
    <row r="134" spans="1:9" ht="15" customHeight="1" thickBot="1" x14ac:dyDescent="0.25">
      <c r="A134" s="1712"/>
      <c r="B134" s="1712"/>
      <c r="C134" s="626" t="str">
        <f>F!C288</f>
        <v>&gt;95% of the AA with or without inhabited building nearby.</v>
      </c>
      <c r="D134" s="153">
        <f>F!D288</f>
        <v>0</v>
      </c>
      <c r="E134" s="215">
        <v>5</v>
      </c>
      <c r="F134" s="215">
        <f t="shared" si="7"/>
        <v>0</v>
      </c>
      <c r="G134" s="294"/>
      <c r="H134" s="1712"/>
      <c r="I134" s="1671"/>
    </row>
    <row r="135" spans="1:9" ht="33" customHeight="1" thickBot="1" x14ac:dyDescent="0.25">
      <c r="A135" s="1696" t="str">
        <f>F!A289</f>
        <v>F61</v>
      </c>
      <c r="B135" s="1696" t="str">
        <f>F!B289</f>
        <v>Frequently Visited Area</v>
      </c>
      <c r="C135" s="240" t="str">
        <f>F!C289</f>
        <v>The part of the AA visited by humans almost daily for several weeks during an average growing season probably comprises:  [See note above.]</v>
      </c>
      <c r="D135" s="759"/>
      <c r="E135" s="217"/>
      <c r="F135" s="208"/>
      <c r="G135" s="328">
        <f>MAX(F136:F139)/MAX(E136:E139)</f>
        <v>0</v>
      </c>
      <c r="H135" s="1696" t="s">
        <v>87</v>
      </c>
      <c r="I135" s="1669" t="s">
        <v>204</v>
      </c>
    </row>
    <row r="136" spans="1:9" ht="15" customHeight="1" x14ac:dyDescent="0.2">
      <c r="A136" s="1696"/>
      <c r="B136" s="1696"/>
      <c r="C136" s="901" t="str">
        <f>F!C290</f>
        <v>&lt;5%. If F60 was answered "&gt;95%" (mostly never visited), SKIP to F64.</v>
      </c>
      <c r="D136" s="33">
        <f>F!D290</f>
        <v>0</v>
      </c>
      <c r="E136" s="672">
        <v>2</v>
      </c>
      <c r="F136" s="211">
        <f>D136*E136</f>
        <v>0</v>
      </c>
      <c r="G136" s="292"/>
      <c r="H136" s="1696"/>
      <c r="I136" s="1670"/>
    </row>
    <row r="137" spans="1:9" ht="15" customHeight="1" x14ac:dyDescent="0.2">
      <c r="A137" s="1696"/>
      <c r="B137" s="1696"/>
      <c r="C137" s="628" t="str">
        <f>F!C291</f>
        <v>5-50%.</v>
      </c>
      <c r="D137" s="183">
        <f>F!D291</f>
        <v>0</v>
      </c>
      <c r="E137" s="672">
        <v>1</v>
      </c>
      <c r="F137" s="211">
        <f>D137*E137</f>
        <v>0</v>
      </c>
      <c r="G137" s="293"/>
      <c r="H137" s="1696"/>
      <c r="I137" s="1670"/>
    </row>
    <row r="138" spans="1:9" ht="15" customHeight="1" x14ac:dyDescent="0.2">
      <c r="A138" s="1696"/>
      <c r="B138" s="1696"/>
      <c r="C138" s="812" t="str">
        <f>F!C292</f>
        <v>50-95%.</v>
      </c>
      <c r="D138" s="128">
        <f>F!D292</f>
        <v>0</v>
      </c>
      <c r="E138" s="672">
        <v>0</v>
      </c>
      <c r="F138" s="211">
        <f>D138*E138</f>
        <v>0</v>
      </c>
      <c r="G138" s="293"/>
      <c r="H138" s="1696"/>
      <c r="I138" s="1670"/>
    </row>
    <row r="139" spans="1:9" ht="15" customHeight="1" thickBot="1" x14ac:dyDescent="0.25">
      <c r="A139" s="1696"/>
      <c r="B139" s="1696"/>
      <c r="C139" s="677" t="str">
        <f>F!C293</f>
        <v>&gt;95% of the AA.</v>
      </c>
      <c r="D139" s="84">
        <f>F!D293</f>
        <v>0</v>
      </c>
      <c r="E139" s="712">
        <v>0</v>
      </c>
      <c r="F139" s="213">
        <f>D139*E139</f>
        <v>0</v>
      </c>
      <c r="G139" s="302"/>
      <c r="H139" s="1696"/>
      <c r="I139" s="1671"/>
    </row>
    <row r="140" spans="1:9" ht="60" customHeight="1" thickBot="1" x14ac:dyDescent="0.25">
      <c r="A140" s="240" t="str">
        <f>F!A295</f>
        <v>F63</v>
      </c>
      <c r="B140" s="240" t="str">
        <f>F!B295</f>
        <v>BMP - Wildlife Protection</v>
      </c>
      <c r="C140" s="89" t="str">
        <f>F!C295</f>
        <v xml:space="preserve">Fences, observation blinds, platforms, paved trails, exclusion periods, and/or well-enforced prohibitions on motorised boats, off-leash pets, and off road vehicles appear to effectively exclude or divert visitors and their pets from the AA at critical times in order to minimize disturbance of wildlife (except during hunting seasons). Enter "1" if true. </v>
      </c>
      <c r="D140" s="114">
        <f>F!D295</f>
        <v>0</v>
      </c>
      <c r="E140" s="424"/>
      <c r="F140" s="220"/>
      <c r="G140" s="327">
        <f>IF((D134+D136&gt;1),"", D140)</f>
        <v>0</v>
      </c>
      <c r="H140" s="3" t="s">
        <v>1105</v>
      </c>
      <c r="I140" s="36" t="s">
        <v>1041</v>
      </c>
    </row>
    <row r="141" spans="1:9" s="56" customFormat="1" ht="36" customHeight="1" thickBot="1" x14ac:dyDescent="0.25">
      <c r="A141" s="849" t="s">
        <v>88</v>
      </c>
      <c r="B141" s="850" t="s">
        <v>1901</v>
      </c>
      <c r="C141" s="852" t="s">
        <v>1164</v>
      </c>
      <c r="D141" s="851" t="s">
        <v>45</v>
      </c>
      <c r="E141" s="944" t="s">
        <v>1188</v>
      </c>
      <c r="F141" s="928" t="s">
        <v>1189</v>
      </c>
      <c r="G141" s="945" t="s">
        <v>2558</v>
      </c>
      <c r="H141" s="850" t="s">
        <v>1117</v>
      </c>
      <c r="I141" s="850" t="s">
        <v>2427</v>
      </c>
    </row>
    <row r="142" spans="1:9" s="5" customFormat="1" ht="116.45" customHeight="1" thickBot="1" x14ac:dyDescent="0.25">
      <c r="A142" s="55" t="str">
        <f>OF!A39</f>
        <v>OF6</v>
      </c>
      <c r="B142" s="55" t="str">
        <f>OF!B39</f>
        <v>Herbaceous Uniqueness</v>
      </c>
      <c r="C142" s="965" t="str">
        <f>OF!C39</f>
        <v xml:space="preserve">The AA's vegetation cover is &gt;10% herbaceous* but uplands within 5 km have &lt;10% herbaceous cover. If so, enter "3" and continue to OF7.  If not, consider: 
The AA's vegetation cover is &gt;10% herbaceous* but uplands within 1 km have &lt;10% herbaceous cover. If so enter "2" and continue to OF7.  If not, consider: 
The AA's vegetation cover is &gt;10% herbaceous* but uplands within 100 m of the wetland edge have &lt;10% herbaceous cover.  If so, enter "1".
[* NOTE: Exclude lawns, row crops, heavily grazed lands, forest, shrublands. Include moss as well as grasslike plants in this use of "herbaceous vegetation"]
</v>
      </c>
      <c r="D142" s="629">
        <f>OF!D39</f>
        <v>0</v>
      </c>
      <c r="E142" s="220"/>
      <c r="F142" s="290"/>
      <c r="G142" s="467">
        <f>D142/3</f>
        <v>0</v>
      </c>
      <c r="H142" s="1045" t="s">
        <v>2233</v>
      </c>
      <c r="I142" s="894" t="s">
        <v>1674</v>
      </c>
    </row>
    <row r="143" spans="1:9" s="5" customFormat="1" ht="30" customHeight="1" thickBot="1" x14ac:dyDescent="0.25">
      <c r="A143" s="1721" t="str">
        <f>OF!A50</f>
        <v>OF10</v>
      </c>
      <c r="B143" s="1669" t="str">
        <f>OF!B50</f>
        <v>Distance by Road to Nearest Population Center</v>
      </c>
      <c r="C143" s="240" t="str">
        <f>OF!C50</f>
        <v>Measured along the maintained road nearest the AA, the distance to the nearest population center is:</v>
      </c>
      <c r="D143" s="191"/>
      <c r="E143" s="218"/>
      <c r="F143" s="192"/>
      <c r="G143" s="467">
        <f>MAX(F144:F148)/MAX(E144:E148)</f>
        <v>0</v>
      </c>
      <c r="H143" s="1669" t="s">
        <v>1091</v>
      </c>
      <c r="I143" s="1865" t="s">
        <v>981</v>
      </c>
    </row>
    <row r="144" spans="1:9" s="5" customFormat="1" ht="15" customHeight="1" x14ac:dyDescent="0.2">
      <c r="A144" s="1703"/>
      <c r="B144" s="1670"/>
      <c r="C144" s="14" t="str">
        <f>OF!C51</f>
        <v>&lt;100 m.</v>
      </c>
      <c r="D144" s="129">
        <f>OF!D51</f>
        <v>0</v>
      </c>
      <c r="E144" s="429">
        <v>4</v>
      </c>
      <c r="F144" s="211">
        <f>D144*E144</f>
        <v>0</v>
      </c>
      <c r="G144" s="292"/>
      <c r="H144" s="1670"/>
      <c r="I144" s="1866"/>
    </row>
    <row r="145" spans="1:9" s="5" customFormat="1" ht="15" customHeight="1" x14ac:dyDescent="0.2">
      <c r="A145" s="1703"/>
      <c r="B145" s="1670"/>
      <c r="C145" s="4" t="str">
        <f>OF!C52</f>
        <v>100 - 500 m.</v>
      </c>
      <c r="D145" s="33">
        <f>OF!D52</f>
        <v>0</v>
      </c>
      <c r="E145" s="429">
        <v>3</v>
      </c>
      <c r="F145" s="211">
        <f>D145*E145</f>
        <v>0</v>
      </c>
      <c r="G145" s="292"/>
      <c r="H145" s="1670"/>
      <c r="I145" s="1866"/>
    </row>
    <row r="146" spans="1:9" s="5" customFormat="1" ht="15" customHeight="1" x14ac:dyDescent="0.2">
      <c r="A146" s="1703"/>
      <c r="B146" s="1670"/>
      <c r="C146" s="4" t="str">
        <f>OF!C53</f>
        <v>0.5- 1 km.</v>
      </c>
      <c r="D146" s="33">
        <f>OF!D53</f>
        <v>0</v>
      </c>
      <c r="E146" s="429">
        <v>2</v>
      </c>
      <c r="F146" s="211">
        <f>D146*E146</f>
        <v>0</v>
      </c>
      <c r="G146" s="292"/>
      <c r="H146" s="1670"/>
      <c r="I146" s="1866"/>
    </row>
    <row r="147" spans="1:9" s="5" customFormat="1" ht="15" customHeight="1" x14ac:dyDescent="0.2">
      <c r="A147" s="1703"/>
      <c r="B147" s="1670"/>
      <c r="C147" s="4" t="str">
        <f>OF!C54</f>
        <v>1 - 5 km.</v>
      </c>
      <c r="D147" s="33">
        <f>OF!D54</f>
        <v>0</v>
      </c>
      <c r="E147" s="429">
        <v>1</v>
      </c>
      <c r="F147" s="211">
        <f>D147*E147</f>
        <v>0</v>
      </c>
      <c r="G147" s="292"/>
      <c r="H147" s="1670"/>
      <c r="I147" s="1866"/>
    </row>
    <row r="148" spans="1:9" s="5" customFormat="1" ht="15" customHeight="1" thickBot="1" x14ac:dyDescent="0.25">
      <c r="A148" s="1703"/>
      <c r="B148" s="1670"/>
      <c r="C148" s="241" t="str">
        <f>OF!C55</f>
        <v>&gt;5 km.</v>
      </c>
      <c r="D148" s="128">
        <f>OF!D55</f>
        <v>0</v>
      </c>
      <c r="E148" s="219">
        <v>0</v>
      </c>
      <c r="F148" s="213">
        <f>D148*E148</f>
        <v>0</v>
      </c>
      <c r="G148" s="420"/>
      <c r="H148" s="1670"/>
      <c r="I148" s="1867"/>
    </row>
    <row r="149" spans="1:9" s="5" customFormat="1" ht="30" customHeight="1" thickBot="1" x14ac:dyDescent="0.25">
      <c r="A149" s="1951" t="str">
        <f>OF!A64</f>
        <v>OF13</v>
      </c>
      <c r="B149" s="1669" t="str">
        <f>OF!B64</f>
        <v>Distance to Ponded Water</v>
      </c>
      <c r="C149" s="3" t="str">
        <f>OF!C64</f>
        <v>The distance from the AA center to the closest (but separate) ponded water body visible in GoogleEarth imagery is:</v>
      </c>
      <c r="D149" s="218"/>
      <c r="E149" s="290"/>
      <c r="F149" s="191"/>
      <c r="G149" s="310">
        <f>MAX(F150:F156)/MAX(E150:E156)</f>
        <v>0</v>
      </c>
      <c r="H149" s="1669" t="s">
        <v>2368</v>
      </c>
      <c r="I149" s="2026" t="s">
        <v>2367</v>
      </c>
    </row>
    <row r="150" spans="1:9" s="5" customFormat="1" ht="27" customHeight="1" x14ac:dyDescent="0.2">
      <c r="A150" s="1853"/>
      <c r="B150" s="1670"/>
      <c r="C150" s="14" t="str">
        <f>OF!C65</f>
        <v xml:space="preserve">&lt;50 m, and not separated by any width of paved roads, stretches of open water, row crops, lawn, bare ground, or impervious surface. </v>
      </c>
      <c r="D150" s="33">
        <f>OF!D65</f>
        <v>0</v>
      </c>
      <c r="E150" s="211">
        <v>0</v>
      </c>
      <c r="F150" s="187">
        <f t="shared" ref="F150:F156" si="8">D150*E150</f>
        <v>0</v>
      </c>
      <c r="G150" s="189"/>
      <c r="H150" s="1670"/>
      <c r="I150" s="2027"/>
    </row>
    <row r="151" spans="1:9" s="5" customFormat="1" ht="15" customHeight="1" x14ac:dyDescent="0.2">
      <c r="A151" s="1853"/>
      <c r="B151" s="1670"/>
      <c r="C151" s="4" t="str">
        <f>OF!C66</f>
        <v>&lt;50 m, but completely separated by those features.</v>
      </c>
      <c r="D151" s="33">
        <f>OF!D66</f>
        <v>0</v>
      </c>
      <c r="E151" s="211">
        <v>0</v>
      </c>
      <c r="F151" s="187">
        <f t="shared" si="8"/>
        <v>0</v>
      </c>
      <c r="G151" s="212"/>
      <c r="H151" s="1670"/>
      <c r="I151" s="2027"/>
    </row>
    <row r="152" spans="1:9" s="5" customFormat="1" ht="15" customHeight="1" x14ac:dyDescent="0.2">
      <c r="A152" s="1853"/>
      <c r="B152" s="1670"/>
      <c r="C152" s="4" t="str">
        <f>OF!C67</f>
        <v>50-500 m, and not separated.</v>
      </c>
      <c r="D152" s="33">
        <f>OF!D67</f>
        <v>0</v>
      </c>
      <c r="E152" s="211">
        <v>1</v>
      </c>
      <c r="F152" s="187">
        <f t="shared" si="8"/>
        <v>0</v>
      </c>
      <c r="G152" s="212"/>
      <c r="H152" s="1670"/>
      <c r="I152" s="2027"/>
    </row>
    <row r="153" spans="1:9" s="5" customFormat="1" ht="15" customHeight="1" x14ac:dyDescent="0.2">
      <c r="A153" s="1853"/>
      <c r="B153" s="1670"/>
      <c r="C153" s="4" t="str">
        <f>OF!C68</f>
        <v>50-500 m, but separated by those features.</v>
      </c>
      <c r="D153" s="33">
        <f>OF!D68</f>
        <v>0</v>
      </c>
      <c r="E153" s="211">
        <v>1</v>
      </c>
      <c r="F153" s="187">
        <f t="shared" si="8"/>
        <v>0</v>
      </c>
      <c r="G153" s="212"/>
      <c r="H153" s="1670"/>
      <c r="I153" s="2027"/>
    </row>
    <row r="154" spans="1:9" s="5" customFormat="1" ht="15" customHeight="1" x14ac:dyDescent="0.2">
      <c r="A154" s="1853"/>
      <c r="B154" s="1670"/>
      <c r="C154" s="4" t="str">
        <f>OF!C69</f>
        <v>0.5 - 1 km, and not separated.</v>
      </c>
      <c r="D154" s="33">
        <f>OF!D69</f>
        <v>0</v>
      </c>
      <c r="E154" s="211">
        <v>2</v>
      </c>
      <c r="F154" s="187">
        <f t="shared" si="8"/>
        <v>0</v>
      </c>
      <c r="G154" s="212"/>
      <c r="H154" s="1670"/>
      <c r="I154" s="2027"/>
    </row>
    <row r="155" spans="1:9" s="5" customFormat="1" ht="15" customHeight="1" x14ac:dyDescent="0.2">
      <c r="A155" s="1853"/>
      <c r="B155" s="1670"/>
      <c r="C155" s="4" t="str">
        <f>OF!C70</f>
        <v>0.5 - 1 km, but separated by those features.</v>
      </c>
      <c r="D155" s="33">
        <f>OF!D70</f>
        <v>0</v>
      </c>
      <c r="E155" s="211">
        <v>2</v>
      </c>
      <c r="F155" s="187">
        <f t="shared" si="8"/>
        <v>0</v>
      </c>
      <c r="G155" s="212"/>
      <c r="H155" s="1670"/>
      <c r="I155" s="2027"/>
    </row>
    <row r="156" spans="1:9" s="5" customFormat="1" ht="15" customHeight="1" thickBot="1" x14ac:dyDescent="0.25">
      <c r="A156" s="1864"/>
      <c r="B156" s="1671"/>
      <c r="C156" s="85" t="str">
        <f>OF!C71</f>
        <v>None of the above (the closest patches or corridors that large are &gt;1 km away).</v>
      </c>
      <c r="D156" s="84">
        <f>OF!D71</f>
        <v>0</v>
      </c>
      <c r="E156" s="215">
        <v>4</v>
      </c>
      <c r="F156" s="188">
        <f t="shared" si="8"/>
        <v>0</v>
      </c>
      <c r="G156" s="216"/>
      <c r="H156" s="1671"/>
      <c r="I156" s="2028"/>
    </row>
    <row r="157" spans="1:9" s="5" customFormat="1" ht="30" customHeight="1" thickBot="1" x14ac:dyDescent="0.25">
      <c r="A157" s="787" t="str">
        <f>OF!A139</f>
        <v>OF29</v>
      </c>
      <c r="B157" s="787" t="str">
        <f>OF!B139</f>
        <v>Species of Conservation Concern</v>
      </c>
      <c r="C157" s="626" t="str">
        <f>OF!C142</f>
        <v>Presence of one or more of the waterbird species (WBF, WBN) of conservation concern as listed in the Wildlife_Rare worksheet of the accompanying SuppInfo file.</v>
      </c>
      <c r="D157" s="935">
        <f>OF!D142</f>
        <v>0</v>
      </c>
      <c r="E157" s="454"/>
      <c r="F157" s="1094"/>
      <c r="G157" s="304">
        <f>D157</f>
        <v>0</v>
      </c>
      <c r="H157" s="624" t="s">
        <v>1316</v>
      </c>
      <c r="I157" s="894" t="s">
        <v>211</v>
      </c>
    </row>
    <row r="158" spans="1:9" ht="30" customHeight="1" thickBot="1" x14ac:dyDescent="0.25">
      <c r="A158" s="88" t="str">
        <f>OF!A145</f>
        <v>OF30</v>
      </c>
      <c r="B158" s="3" t="str">
        <f>OF!B145</f>
        <v>Important Bird Area (IBA)</v>
      </c>
      <c r="C158" s="622" t="str">
        <f>OF!C145</f>
        <v xml:space="preserve">In Google Earth, open the KMZ file that accompanies this calculator, called IBAs_Canada.  The AA is all or part of an officially designated IBA. Enter 1= yes, 0= no. </v>
      </c>
      <c r="D158" s="629">
        <f>OF!D145</f>
        <v>0</v>
      </c>
      <c r="E158" s="220"/>
      <c r="F158" s="220"/>
      <c r="G158" s="310">
        <f>D158</f>
        <v>0</v>
      </c>
      <c r="H158" s="36" t="s">
        <v>86</v>
      </c>
      <c r="I158" s="36" t="s">
        <v>1160</v>
      </c>
    </row>
    <row r="159" spans="1:9" ht="45" customHeight="1" thickBot="1" x14ac:dyDescent="0.25">
      <c r="A159" s="1670" t="str">
        <f>F!A274</f>
        <v>F58</v>
      </c>
      <c r="B159" s="1670" t="str">
        <f>F!B274</f>
        <v>Visibility</v>
      </c>
      <c r="C159" s="245" t="str">
        <f>F!C274</f>
        <v>The maximum percentage of the wetland that is visible from the best vantage point on public roads, public parking lots, public buildings, or public maintained trails that intersect, adjoin, or are within 100 m of the AA (select one) is:</v>
      </c>
      <c r="D159" s="186"/>
      <c r="E159" s="429"/>
      <c r="F159" s="468"/>
      <c r="G159" s="1440">
        <f>MAX(F160:F162)/MAX(E160:E162)</f>
        <v>0</v>
      </c>
      <c r="H159" s="1805" t="s">
        <v>1470</v>
      </c>
      <c r="I159" s="1669" t="s">
        <v>980</v>
      </c>
    </row>
    <row r="160" spans="1:9" ht="15" customHeight="1" x14ac:dyDescent="0.2">
      <c r="A160" s="1670"/>
      <c r="B160" s="1670"/>
      <c r="C160" s="813" t="str">
        <f>F!C275</f>
        <v>&lt;25%.</v>
      </c>
      <c r="D160" s="33">
        <f>F!D275</f>
        <v>0</v>
      </c>
      <c r="E160" s="429">
        <v>0</v>
      </c>
      <c r="F160" s="211">
        <f>D160*E160</f>
        <v>0</v>
      </c>
      <c r="G160" s="468"/>
      <c r="H160" s="1803"/>
      <c r="I160" s="1670"/>
    </row>
    <row r="161" spans="1:9" ht="15" customHeight="1" x14ac:dyDescent="0.2">
      <c r="A161" s="1670"/>
      <c r="B161" s="1670"/>
      <c r="C161" s="812" t="str">
        <f>F!C276</f>
        <v>25-50%.</v>
      </c>
      <c r="D161" s="33">
        <f>F!D276</f>
        <v>0</v>
      </c>
      <c r="E161" s="429">
        <v>1</v>
      </c>
      <c r="F161" s="211">
        <f>D161*E161</f>
        <v>0</v>
      </c>
      <c r="G161" s="468"/>
      <c r="H161" s="1803"/>
      <c r="I161" s="1670"/>
    </row>
    <row r="162" spans="1:9" ht="15" customHeight="1" thickBot="1" x14ac:dyDescent="0.25">
      <c r="A162" s="1670"/>
      <c r="B162" s="1670"/>
      <c r="C162" s="677" t="str">
        <f>F!C277</f>
        <v>&gt;50%.</v>
      </c>
      <c r="D162" s="151">
        <f>F!D277</f>
        <v>0</v>
      </c>
      <c r="E162" s="219">
        <v>2</v>
      </c>
      <c r="F162" s="213">
        <f>D162*E162</f>
        <v>0</v>
      </c>
      <c r="G162" s="458"/>
      <c r="H162" s="1806"/>
      <c r="I162" s="1671"/>
    </row>
    <row r="163" spans="1:9" s="5" customFormat="1" ht="30" customHeight="1" thickBot="1" x14ac:dyDescent="0.25">
      <c r="A163" s="3" t="str">
        <f>F!A296</f>
        <v>F64</v>
      </c>
      <c r="B163" s="3" t="str">
        <f>F!B296</f>
        <v xml:space="preserve">Consumptive Uses (Provisioning Services)  </v>
      </c>
      <c r="C163" s="622" t="str">
        <f>F!C299</f>
        <v>Waterfowl hunting.</v>
      </c>
      <c r="D163" s="629">
        <f>F!D299</f>
        <v>0</v>
      </c>
      <c r="E163" s="220"/>
      <c r="F163" s="210"/>
      <c r="G163" s="452">
        <f>D163</f>
        <v>0</v>
      </c>
      <c r="H163" s="3" t="s">
        <v>42</v>
      </c>
      <c r="I163" s="894" t="s">
        <v>210</v>
      </c>
    </row>
    <row r="164" spans="1:9" s="5" customFormat="1" ht="21" customHeight="1" thickBot="1" x14ac:dyDescent="0.25">
      <c r="A164" s="703"/>
      <c r="B164" s="703"/>
      <c r="C164" s="703"/>
      <c r="D164" s="1859"/>
      <c r="E164" s="1859"/>
      <c r="F164" s="1859"/>
      <c r="G164" s="1859"/>
      <c r="H164" s="1859"/>
      <c r="I164" s="650"/>
    </row>
    <row r="165" spans="1:9" ht="21" customHeight="1" x14ac:dyDescent="0.2">
      <c r="C165" s="645"/>
      <c r="D165" s="2023" t="s">
        <v>613</v>
      </c>
      <c r="E165" s="2024"/>
      <c r="F165" s="2025"/>
      <c r="G165" s="916">
        <f>AVERAGE(SatPct12,ISOwet12, MAX(SeasWpct12, PermWpct12), Depth12, DepthEven12)</f>
        <v>0</v>
      </c>
      <c r="H165" s="1029" t="s">
        <v>1529</v>
      </c>
      <c r="I165" s="1030" t="s">
        <v>2150</v>
      </c>
    </row>
    <row r="166" spans="1:9" ht="21" customHeight="1" x14ac:dyDescent="0.2">
      <c r="C166" s="645"/>
      <c r="D166" s="2015" t="s">
        <v>121</v>
      </c>
      <c r="E166" s="2016"/>
      <c r="F166" s="2017"/>
      <c r="G166" s="917">
        <f>AVERAGE(Interspers12, AreaTotal12,AVERAGE(ABpct12, EmPct12))</f>
        <v>0</v>
      </c>
      <c r="H166" s="1016" t="s">
        <v>2369</v>
      </c>
      <c r="I166" s="1031" t="s">
        <v>2151</v>
      </c>
    </row>
    <row r="167" spans="1:9" ht="25.5" customHeight="1" x14ac:dyDescent="0.2">
      <c r="D167" s="973" t="s">
        <v>149</v>
      </c>
      <c r="E167" s="1357"/>
      <c r="F167" s="1358"/>
      <c r="G167" s="917">
        <f>AVERAGE(Wettype12,Acid12,warmth12,Fringe12a, Lake12a,Gradient12, Algae12, TidalProx12,Fish12a)</f>
        <v>0.33333333333333331</v>
      </c>
      <c r="H167" s="1016" t="s">
        <v>2593</v>
      </c>
      <c r="I167" s="1031" t="s">
        <v>2152</v>
      </c>
    </row>
    <row r="168" spans="1:9" ht="28.5" customHeight="1" x14ac:dyDescent="0.2">
      <c r="D168" s="2015" t="s">
        <v>118</v>
      </c>
      <c r="E168" s="2016"/>
      <c r="F168" s="2017"/>
      <c r="G168" s="917" t="str">
        <f>IF((Fen_ + Marsh=0),"",AVERAGE(WetTypeDiv12,Beaver12, PondProx12,BigPondProx12))</f>
        <v/>
      </c>
      <c r="H168" s="1016" t="s">
        <v>2456</v>
      </c>
      <c r="I168" s="1031" t="s">
        <v>2153</v>
      </c>
    </row>
    <row r="169" spans="1:9" ht="21" customHeight="1" thickBot="1" x14ac:dyDescent="0.25">
      <c r="D169" s="2020" t="s">
        <v>1141</v>
      </c>
      <c r="E169" s="2021"/>
      <c r="F169" s="2022"/>
      <c r="G169" s="918">
        <f>AVERAGE(Core12a, Core12b, _BMP12,_Tox12)</f>
        <v>0</v>
      </c>
      <c r="H169" s="1032" t="s">
        <v>1042</v>
      </c>
      <c r="I169" s="1033" t="s">
        <v>2154</v>
      </c>
    </row>
    <row r="170" spans="1:9" ht="21" customHeight="1" thickBot="1" x14ac:dyDescent="0.25">
      <c r="D170" s="1965"/>
      <c r="E170" s="1965"/>
      <c r="F170" s="1965"/>
      <c r="G170" s="1965"/>
      <c r="H170" s="1841"/>
      <c r="I170" s="1038"/>
    </row>
    <row r="171" spans="1:9" ht="52.5" customHeight="1" thickBot="1" x14ac:dyDescent="0.25">
      <c r="A171" s="1841"/>
      <c r="B171" s="1871"/>
      <c r="C171" s="1838" t="s">
        <v>56</v>
      </c>
      <c r="D171" s="1839"/>
      <c r="E171" s="1840"/>
      <c r="F171" s="1046" t="s">
        <v>52</v>
      </c>
      <c r="G171" s="919">
        <f>IF((AllSat1=1),0,IF((TooSmall=1),0,IF((TooSteep=1),0,10*(AVERAGE(Lscape12,Stress12,Produc12)+2*MAX(Mudflat12,AVERAGE(Struc12,Hydro12)))/3)))</f>
        <v>0.55555555555555547</v>
      </c>
      <c r="H171" s="1807" t="s">
        <v>2457</v>
      </c>
      <c r="I171" s="1808"/>
    </row>
    <row r="172" spans="1:9" ht="30" customHeight="1" thickBot="1" x14ac:dyDescent="0.25">
      <c r="A172" s="1841"/>
      <c r="B172" s="1871"/>
      <c r="C172" s="1838" t="s">
        <v>1914</v>
      </c>
      <c r="D172" s="1839"/>
      <c r="E172" s="1840"/>
      <c r="F172" s="1046" t="s">
        <v>2223</v>
      </c>
      <c r="G172" s="926">
        <f>10*(IF((Rare12=1),1, IF((IBird12v=1),1, MAX(HerbUniq12,DistPond12,AVERAGE(DuckHunt,PopCtr12,Visib12)))))</f>
        <v>0</v>
      </c>
      <c r="H172" s="1807" t="s">
        <v>2458</v>
      </c>
      <c r="I172" s="1808"/>
    </row>
    <row r="173" spans="1:9" ht="21" customHeight="1" thickBot="1" x14ac:dyDescent="0.25">
      <c r="A173" s="1841"/>
      <c r="B173" s="1841"/>
      <c r="C173" s="1841"/>
      <c r="D173" s="1841"/>
      <c r="E173" s="1841"/>
      <c r="F173" s="1841"/>
      <c r="G173" s="1841"/>
      <c r="H173" s="1841"/>
    </row>
    <row r="174" spans="1:9" ht="21" customHeight="1" thickBot="1" x14ac:dyDescent="0.3">
      <c r="D174" s="2"/>
      <c r="E174" s="2"/>
      <c r="F174" s="2"/>
      <c r="G174" s="645"/>
      <c r="H174" s="2018" t="s">
        <v>669</v>
      </c>
      <c r="I174" s="2019"/>
    </row>
    <row r="175" spans="1:9" ht="27" customHeight="1" x14ac:dyDescent="0.2">
      <c r="D175" s="2"/>
      <c r="E175" s="2"/>
      <c r="F175" s="2"/>
      <c r="G175" s="2"/>
      <c r="H175" s="1966" t="s">
        <v>1031</v>
      </c>
      <c r="I175" s="1967"/>
    </row>
    <row r="176" spans="1:9" ht="27.75" customHeight="1" x14ac:dyDescent="0.2">
      <c r="D176" s="2"/>
      <c r="E176" s="2"/>
      <c r="F176" s="2"/>
      <c r="G176" s="2"/>
      <c r="H176" s="1792" t="s">
        <v>858</v>
      </c>
      <c r="I176" s="1793"/>
    </row>
    <row r="177" spans="3:9" ht="42" customHeight="1" x14ac:dyDescent="0.2">
      <c r="D177" s="2"/>
      <c r="E177" s="2"/>
      <c r="F177" s="2"/>
      <c r="G177" s="2"/>
      <c r="H177" s="1792" t="s">
        <v>859</v>
      </c>
      <c r="I177" s="1793"/>
    </row>
    <row r="178" spans="3:9" ht="27" customHeight="1" x14ac:dyDescent="0.2">
      <c r="D178" s="2"/>
      <c r="E178" s="2"/>
      <c r="F178" s="2"/>
      <c r="G178" s="2"/>
      <c r="H178" s="1792" t="s">
        <v>860</v>
      </c>
      <c r="I178" s="1793"/>
    </row>
    <row r="179" spans="3:9" ht="27" customHeight="1" x14ac:dyDescent="0.2">
      <c r="D179" s="2"/>
      <c r="E179" s="2"/>
      <c r="F179" s="2"/>
      <c r="G179" s="2"/>
      <c r="H179" s="1921" t="s">
        <v>2607</v>
      </c>
      <c r="I179" s="2038"/>
    </row>
    <row r="180" spans="3:9" ht="27" customHeight="1" x14ac:dyDescent="0.2">
      <c r="D180" s="2"/>
      <c r="E180" s="2"/>
      <c r="F180" s="2"/>
      <c r="G180" s="2"/>
      <c r="H180" s="1792" t="s">
        <v>1033</v>
      </c>
      <c r="I180" s="1793"/>
    </row>
    <row r="181" spans="3:9" ht="27" customHeight="1" x14ac:dyDescent="0.2">
      <c r="D181" s="2"/>
      <c r="E181" s="2"/>
      <c r="F181" s="2"/>
      <c r="G181" s="2"/>
      <c r="H181" s="1792" t="s">
        <v>861</v>
      </c>
      <c r="I181" s="1793"/>
    </row>
    <row r="182" spans="3:9" ht="42" customHeight="1" x14ac:dyDescent="0.2">
      <c r="D182" s="2"/>
      <c r="E182" s="2"/>
      <c r="F182" s="2"/>
      <c r="G182" s="2"/>
      <c r="H182" s="1792" t="s">
        <v>1752</v>
      </c>
      <c r="I182" s="1793"/>
    </row>
    <row r="183" spans="3:9" ht="27" customHeight="1" x14ac:dyDescent="0.2">
      <c r="D183" s="2"/>
      <c r="E183" s="2"/>
      <c r="F183" s="2"/>
      <c r="G183" s="2"/>
      <c r="H183" s="1792" t="s">
        <v>862</v>
      </c>
      <c r="I183" s="1793"/>
    </row>
    <row r="184" spans="3:9" ht="27" customHeight="1" x14ac:dyDescent="0.2">
      <c r="D184" s="2"/>
      <c r="E184" s="2"/>
      <c r="F184" s="2"/>
      <c r="G184" s="2"/>
      <c r="H184" s="1796" t="s">
        <v>1103</v>
      </c>
      <c r="I184" s="1797"/>
    </row>
    <row r="185" spans="3:9" ht="42" customHeight="1" x14ac:dyDescent="0.2">
      <c r="D185" s="2"/>
      <c r="E185" s="2"/>
      <c r="F185" s="2"/>
      <c r="G185" s="2"/>
      <c r="H185" s="1796" t="s">
        <v>1104</v>
      </c>
      <c r="I185" s="1797"/>
    </row>
    <row r="186" spans="3:9" ht="27" customHeight="1" x14ac:dyDescent="0.2">
      <c r="D186" s="2"/>
      <c r="E186" s="2"/>
      <c r="F186" s="2"/>
      <c r="G186" s="2"/>
      <c r="H186" s="1792" t="s">
        <v>863</v>
      </c>
      <c r="I186" s="1793"/>
    </row>
    <row r="187" spans="3:9" ht="27" customHeight="1" thickBot="1" x14ac:dyDescent="0.25">
      <c r="D187" s="2"/>
      <c r="E187" s="2"/>
      <c r="F187" s="2"/>
      <c r="G187" s="2"/>
      <c r="H187" s="1794" t="s">
        <v>864</v>
      </c>
      <c r="I187" s="1795"/>
    </row>
    <row r="188" spans="3:9" x14ac:dyDescent="0.2">
      <c r="D188" s="2"/>
      <c r="E188" s="2"/>
      <c r="F188" s="2"/>
      <c r="G188" s="2"/>
      <c r="H188" s="703"/>
    </row>
    <row r="189" spans="3:9" x14ac:dyDescent="0.2">
      <c r="C189" s="6"/>
      <c r="H189" s="760"/>
    </row>
    <row r="190" spans="3:9" x14ac:dyDescent="0.2">
      <c r="C190" s="6"/>
    </row>
    <row r="191" spans="3:9" ht="13.5" thickBot="1" x14ac:dyDescent="0.25">
      <c r="C191" s="6"/>
    </row>
    <row r="192" spans="3:9" ht="13.5" thickBot="1" x14ac:dyDescent="0.25">
      <c r="C192" s="952"/>
    </row>
    <row r="193" spans="3:3" x14ac:dyDescent="0.2">
      <c r="C193" s="6"/>
    </row>
    <row r="194" spans="3:3" x14ac:dyDescent="0.2">
      <c r="C194" s="6"/>
    </row>
    <row r="195" spans="3:3" x14ac:dyDescent="0.2">
      <c r="C195" s="6"/>
    </row>
    <row r="196" spans="3:3" x14ac:dyDescent="0.2">
      <c r="C196" s="6"/>
    </row>
    <row r="197" spans="3:3" x14ac:dyDescent="0.2">
      <c r="C197" s="6"/>
    </row>
    <row r="198" spans="3:3" x14ac:dyDescent="0.2">
      <c r="C198" s="6"/>
    </row>
    <row r="199" spans="3:3" x14ac:dyDescent="0.2">
      <c r="C199" s="6"/>
    </row>
    <row r="200" spans="3:3" x14ac:dyDescent="0.2">
      <c r="C200" s="6"/>
    </row>
    <row r="201" spans="3:3" x14ac:dyDescent="0.2">
      <c r="C201" s="6"/>
    </row>
    <row r="202" spans="3:3" x14ac:dyDescent="0.2">
      <c r="C202" s="6"/>
    </row>
    <row r="203" spans="3:3" x14ac:dyDescent="0.2">
      <c r="C203" s="6"/>
    </row>
    <row r="204" spans="3:3" x14ac:dyDescent="0.2">
      <c r="C204" s="6"/>
    </row>
    <row r="205" spans="3:3" x14ac:dyDescent="0.2">
      <c r="C205" s="6"/>
    </row>
    <row r="206" spans="3:3" x14ac:dyDescent="0.2">
      <c r="C206" s="6"/>
    </row>
    <row r="207" spans="3:3" x14ac:dyDescent="0.2">
      <c r="C207" s="6"/>
    </row>
    <row r="208" spans="3:3" x14ac:dyDescent="0.2">
      <c r="C208" s="6"/>
    </row>
    <row r="209" spans="3:3" x14ac:dyDescent="0.2">
      <c r="C209" s="6"/>
    </row>
    <row r="210" spans="3:3" x14ac:dyDescent="0.2">
      <c r="C210" s="6"/>
    </row>
    <row r="211" spans="3:3" x14ac:dyDescent="0.2">
      <c r="C211" s="6"/>
    </row>
    <row r="212" spans="3:3" x14ac:dyDescent="0.2">
      <c r="C212" s="6"/>
    </row>
    <row r="213" spans="3:3" x14ac:dyDescent="0.2">
      <c r="C213" s="6"/>
    </row>
    <row r="214" spans="3:3" x14ac:dyDescent="0.2">
      <c r="C214" s="6"/>
    </row>
    <row r="215" spans="3:3" x14ac:dyDescent="0.2">
      <c r="C215" s="6"/>
    </row>
    <row r="216" spans="3:3" x14ac:dyDescent="0.2">
      <c r="C216" s="6"/>
    </row>
    <row r="217" spans="3:3" x14ac:dyDescent="0.2">
      <c r="C217" s="6"/>
    </row>
    <row r="218" spans="3:3" x14ac:dyDescent="0.2">
      <c r="C218" s="6"/>
    </row>
    <row r="219" spans="3:3" x14ac:dyDescent="0.2">
      <c r="C219" s="6"/>
    </row>
    <row r="220" spans="3:3" x14ac:dyDescent="0.2">
      <c r="C220" s="6"/>
    </row>
    <row r="221" spans="3:3" x14ac:dyDescent="0.2">
      <c r="C221" s="6"/>
    </row>
    <row r="222" spans="3:3" x14ac:dyDescent="0.2">
      <c r="C222" s="6"/>
    </row>
    <row r="223" spans="3:3" x14ac:dyDescent="0.2">
      <c r="C223" s="6"/>
    </row>
    <row r="224" spans="3:3" x14ac:dyDescent="0.2">
      <c r="C224" s="6"/>
    </row>
    <row r="225" spans="3:3" x14ac:dyDescent="0.2">
      <c r="C225" s="6"/>
    </row>
    <row r="226" spans="3:3" x14ac:dyDescent="0.2">
      <c r="C226" s="6"/>
    </row>
    <row r="227" spans="3:3" x14ac:dyDescent="0.2">
      <c r="C227" s="6"/>
    </row>
    <row r="228" spans="3:3" x14ac:dyDescent="0.2">
      <c r="C228" s="6"/>
    </row>
    <row r="229" spans="3:3" x14ac:dyDescent="0.2">
      <c r="C229" s="6"/>
    </row>
    <row r="230" spans="3:3" x14ac:dyDescent="0.2">
      <c r="C230" s="6"/>
    </row>
    <row r="231" spans="3:3" x14ac:dyDescent="0.2">
      <c r="C231" s="6"/>
    </row>
    <row r="232" spans="3:3" x14ac:dyDescent="0.2">
      <c r="C232" s="6"/>
    </row>
    <row r="233" spans="3:3" x14ac:dyDescent="0.2">
      <c r="C233" s="6"/>
    </row>
    <row r="234" spans="3:3" x14ac:dyDescent="0.2">
      <c r="C234" s="6"/>
    </row>
    <row r="235" spans="3:3" x14ac:dyDescent="0.2">
      <c r="C235" s="6"/>
    </row>
    <row r="236" spans="3:3" x14ac:dyDescent="0.2">
      <c r="C236" s="6"/>
    </row>
    <row r="237" spans="3:3" x14ac:dyDescent="0.2">
      <c r="C237" s="6"/>
    </row>
    <row r="238" spans="3:3" x14ac:dyDescent="0.2">
      <c r="C238" s="6"/>
    </row>
    <row r="239" spans="3:3" x14ac:dyDescent="0.2">
      <c r="C239" s="6"/>
    </row>
    <row r="240" spans="3:3" x14ac:dyDescent="0.2">
      <c r="C240" s="6"/>
    </row>
    <row r="241" spans="3:3" x14ac:dyDescent="0.2">
      <c r="C241" s="6"/>
    </row>
    <row r="242" spans="3:3" x14ac:dyDescent="0.2">
      <c r="C242" s="6"/>
    </row>
    <row r="243" spans="3:3" x14ac:dyDescent="0.2">
      <c r="C243" s="6"/>
    </row>
    <row r="244" spans="3:3" x14ac:dyDescent="0.2">
      <c r="C244" s="6"/>
    </row>
    <row r="245" spans="3:3" x14ac:dyDescent="0.2">
      <c r="C245" s="6"/>
    </row>
    <row r="246" spans="3:3" x14ac:dyDescent="0.2">
      <c r="C246" s="6"/>
    </row>
    <row r="247" spans="3:3" x14ac:dyDescent="0.2">
      <c r="C247" s="6"/>
    </row>
    <row r="248" spans="3:3" x14ac:dyDescent="0.2">
      <c r="C248" s="6"/>
    </row>
    <row r="249" spans="3:3" x14ac:dyDescent="0.2">
      <c r="C249" s="6"/>
    </row>
    <row r="250" spans="3:3" x14ac:dyDescent="0.2">
      <c r="C250" s="6"/>
    </row>
    <row r="251" spans="3:3" x14ac:dyDescent="0.2">
      <c r="C251" s="6"/>
    </row>
    <row r="252" spans="3:3" x14ac:dyDescent="0.2">
      <c r="C252" s="6"/>
    </row>
    <row r="253" spans="3:3" x14ac:dyDescent="0.2">
      <c r="C253" s="6"/>
    </row>
    <row r="254" spans="3:3" x14ac:dyDescent="0.2">
      <c r="C254" s="6"/>
    </row>
    <row r="255" spans="3:3" x14ac:dyDescent="0.2">
      <c r="C255" s="6"/>
    </row>
    <row r="256" spans="3:3" x14ac:dyDescent="0.2">
      <c r="C256" s="6"/>
    </row>
    <row r="257" spans="3:3" x14ac:dyDescent="0.2">
      <c r="C257" s="6"/>
    </row>
    <row r="258" spans="3:3" x14ac:dyDescent="0.2">
      <c r="C258" s="6"/>
    </row>
    <row r="259" spans="3:3" x14ac:dyDescent="0.2">
      <c r="C259" s="6"/>
    </row>
    <row r="260" spans="3:3" x14ac:dyDescent="0.2">
      <c r="C260" s="6"/>
    </row>
    <row r="261" spans="3:3" x14ac:dyDescent="0.2">
      <c r="C261" s="6"/>
    </row>
    <row r="262" spans="3:3" x14ac:dyDescent="0.2">
      <c r="C262" s="6"/>
    </row>
    <row r="263" spans="3:3" x14ac:dyDescent="0.2">
      <c r="C263" s="6"/>
    </row>
    <row r="264" spans="3:3" x14ac:dyDescent="0.2">
      <c r="C264" s="6"/>
    </row>
    <row r="265" spans="3:3" x14ac:dyDescent="0.2">
      <c r="C265" s="6"/>
    </row>
    <row r="266" spans="3:3" x14ac:dyDescent="0.2">
      <c r="C266" s="6"/>
    </row>
    <row r="267" spans="3:3" x14ac:dyDescent="0.2">
      <c r="C267" s="6"/>
    </row>
    <row r="268" spans="3:3" x14ac:dyDescent="0.2">
      <c r="C268" s="6"/>
    </row>
    <row r="269" spans="3:3" x14ac:dyDescent="0.2">
      <c r="C269" s="6"/>
    </row>
    <row r="270" spans="3:3" x14ac:dyDescent="0.2">
      <c r="C270" s="6"/>
    </row>
    <row r="271" spans="3:3" x14ac:dyDescent="0.2">
      <c r="C271" s="6"/>
    </row>
    <row r="272" spans="3:3" x14ac:dyDescent="0.2">
      <c r="C272" s="6"/>
    </row>
    <row r="273" spans="3:3" x14ac:dyDescent="0.2">
      <c r="C273" s="6"/>
    </row>
    <row r="274" spans="3:3" x14ac:dyDescent="0.2">
      <c r="C274" s="6"/>
    </row>
    <row r="275" spans="3:3" x14ac:dyDescent="0.2">
      <c r="C275" s="6"/>
    </row>
    <row r="276" spans="3:3" x14ac:dyDescent="0.2">
      <c r="C276" s="6"/>
    </row>
    <row r="277" spans="3:3" x14ac:dyDescent="0.2">
      <c r="C277" s="6"/>
    </row>
    <row r="278" spans="3:3" x14ac:dyDescent="0.2">
      <c r="C278" s="6"/>
    </row>
    <row r="279" spans="3:3" x14ac:dyDescent="0.2">
      <c r="C279" s="6"/>
    </row>
    <row r="280" spans="3:3" x14ac:dyDescent="0.2">
      <c r="C280" s="6"/>
    </row>
    <row r="281" spans="3:3" x14ac:dyDescent="0.2">
      <c r="C281" s="6"/>
    </row>
    <row r="282" spans="3:3" x14ac:dyDescent="0.2">
      <c r="C282" s="6"/>
    </row>
    <row r="283" spans="3:3" x14ac:dyDescent="0.2">
      <c r="C283" s="6"/>
    </row>
    <row r="284" spans="3:3" x14ac:dyDescent="0.2">
      <c r="C284" s="6"/>
    </row>
    <row r="285" spans="3:3" x14ac:dyDescent="0.2">
      <c r="C285" s="6"/>
    </row>
    <row r="286" spans="3:3" x14ac:dyDescent="0.2">
      <c r="C286" s="6"/>
    </row>
    <row r="287" spans="3:3" x14ac:dyDescent="0.2">
      <c r="C287" s="6"/>
    </row>
    <row r="288" spans="3:3" x14ac:dyDescent="0.2">
      <c r="C288" s="6"/>
    </row>
    <row r="289" spans="3:3" x14ac:dyDescent="0.2">
      <c r="C289" s="6"/>
    </row>
    <row r="290" spans="3:3" x14ac:dyDescent="0.2">
      <c r="C290" s="6"/>
    </row>
    <row r="291" spans="3:3" x14ac:dyDescent="0.2">
      <c r="C291" s="6"/>
    </row>
    <row r="292" spans="3:3" x14ac:dyDescent="0.2">
      <c r="C292" s="6"/>
    </row>
    <row r="293" spans="3:3" x14ac:dyDescent="0.2">
      <c r="C293" s="6"/>
    </row>
    <row r="294" spans="3:3" x14ac:dyDescent="0.2">
      <c r="C294" s="6"/>
    </row>
    <row r="295" spans="3:3" x14ac:dyDescent="0.2">
      <c r="C295" s="6"/>
    </row>
    <row r="296" spans="3:3" x14ac:dyDescent="0.2">
      <c r="C296" s="6"/>
    </row>
    <row r="297" spans="3:3" x14ac:dyDescent="0.2">
      <c r="C297" s="6"/>
    </row>
    <row r="298" spans="3:3" x14ac:dyDescent="0.2">
      <c r="C298" s="6"/>
    </row>
    <row r="299" spans="3:3" x14ac:dyDescent="0.2">
      <c r="C299" s="6"/>
    </row>
    <row r="300" spans="3:3" x14ac:dyDescent="0.2">
      <c r="C300" s="6"/>
    </row>
    <row r="301" spans="3:3" x14ac:dyDescent="0.2">
      <c r="C301" s="6"/>
    </row>
    <row r="302" spans="3:3" x14ac:dyDescent="0.2">
      <c r="C302" s="6"/>
    </row>
    <row r="303" spans="3:3" x14ac:dyDescent="0.2">
      <c r="C303" s="6"/>
    </row>
    <row r="304" spans="3:3" x14ac:dyDescent="0.2">
      <c r="C304" s="6"/>
    </row>
    <row r="305" spans="3:3" x14ac:dyDescent="0.2">
      <c r="C305" s="6"/>
    </row>
    <row r="306" spans="3:3" x14ac:dyDescent="0.2">
      <c r="C306" s="6"/>
    </row>
    <row r="307" spans="3:3" x14ac:dyDescent="0.2">
      <c r="C307" s="6"/>
    </row>
    <row r="308" spans="3:3" x14ac:dyDescent="0.2">
      <c r="C308" s="6"/>
    </row>
    <row r="309" spans="3:3" x14ac:dyDescent="0.2">
      <c r="C309" s="6"/>
    </row>
    <row r="310" spans="3:3" x14ac:dyDescent="0.2">
      <c r="C310" s="6"/>
    </row>
    <row r="311" spans="3:3" x14ac:dyDescent="0.2">
      <c r="C311" s="6"/>
    </row>
    <row r="312" spans="3:3" x14ac:dyDescent="0.2">
      <c r="C312" s="6"/>
    </row>
    <row r="313" spans="3:3" x14ac:dyDescent="0.2">
      <c r="C313" s="6"/>
    </row>
    <row r="314" spans="3:3" x14ac:dyDescent="0.2">
      <c r="C314" s="6"/>
    </row>
    <row r="315" spans="3:3" x14ac:dyDescent="0.2">
      <c r="C315" s="6"/>
    </row>
    <row r="316" spans="3:3" x14ac:dyDescent="0.2">
      <c r="C316" s="6"/>
    </row>
    <row r="317" spans="3:3" x14ac:dyDescent="0.2">
      <c r="C317" s="6"/>
    </row>
    <row r="318" spans="3:3" x14ac:dyDescent="0.2">
      <c r="C318" s="6"/>
    </row>
    <row r="319" spans="3:3" x14ac:dyDescent="0.2">
      <c r="C319" s="6"/>
    </row>
    <row r="320" spans="3:3" x14ac:dyDescent="0.2">
      <c r="C320" s="6"/>
    </row>
    <row r="321" spans="3:3" x14ac:dyDescent="0.2">
      <c r="C321" s="6"/>
    </row>
    <row r="322" spans="3:3" x14ac:dyDescent="0.2">
      <c r="C322" s="6"/>
    </row>
    <row r="323" spans="3:3" x14ac:dyDescent="0.2">
      <c r="C323" s="6"/>
    </row>
    <row r="324" spans="3:3" x14ac:dyDescent="0.2">
      <c r="C324" s="6"/>
    </row>
    <row r="325" spans="3:3" x14ac:dyDescent="0.2">
      <c r="C325" s="6"/>
    </row>
    <row r="326" spans="3:3" x14ac:dyDescent="0.2">
      <c r="C326" s="6"/>
    </row>
    <row r="327" spans="3:3" x14ac:dyDescent="0.2">
      <c r="C327" s="6"/>
    </row>
    <row r="328" spans="3:3" x14ac:dyDescent="0.2">
      <c r="C328" s="6"/>
    </row>
    <row r="329" spans="3:3" x14ac:dyDescent="0.2">
      <c r="C329" s="6"/>
    </row>
    <row r="330" spans="3:3" x14ac:dyDescent="0.2">
      <c r="C330" s="6"/>
    </row>
    <row r="331" spans="3:3" x14ac:dyDescent="0.2">
      <c r="C331" s="6"/>
    </row>
    <row r="332" spans="3:3" x14ac:dyDescent="0.2">
      <c r="C332" s="6"/>
    </row>
    <row r="333" spans="3:3" x14ac:dyDescent="0.2">
      <c r="C333" s="6"/>
    </row>
    <row r="334" spans="3:3" x14ac:dyDescent="0.2">
      <c r="C334" s="6"/>
    </row>
    <row r="335" spans="3:3" x14ac:dyDescent="0.2">
      <c r="C335" s="6"/>
    </row>
    <row r="336" spans="3:3" x14ac:dyDescent="0.2">
      <c r="C336" s="6"/>
    </row>
    <row r="337" spans="3:3" x14ac:dyDescent="0.2">
      <c r="C337" s="6"/>
    </row>
    <row r="338" spans="3:3" x14ac:dyDescent="0.2">
      <c r="C338" s="6"/>
    </row>
    <row r="339" spans="3:3" x14ac:dyDescent="0.2">
      <c r="C339" s="6"/>
    </row>
    <row r="340" spans="3:3" x14ac:dyDescent="0.2">
      <c r="C340" s="6"/>
    </row>
    <row r="341" spans="3:3" x14ac:dyDescent="0.2">
      <c r="C341" s="6"/>
    </row>
    <row r="342" spans="3:3" x14ac:dyDescent="0.2">
      <c r="C342" s="6"/>
    </row>
    <row r="343" spans="3:3" x14ac:dyDescent="0.2">
      <c r="C343" s="6"/>
    </row>
    <row r="344" spans="3:3" x14ac:dyDescent="0.2">
      <c r="C344" s="6"/>
    </row>
    <row r="345" spans="3:3" x14ac:dyDescent="0.2">
      <c r="C345" s="6"/>
    </row>
    <row r="346" spans="3:3" x14ac:dyDescent="0.2">
      <c r="C346" s="6"/>
    </row>
    <row r="347" spans="3:3" x14ac:dyDescent="0.2">
      <c r="C347" s="6"/>
    </row>
    <row r="348" spans="3:3" x14ac:dyDescent="0.2">
      <c r="C348" s="6"/>
    </row>
    <row r="349" spans="3:3" x14ac:dyDescent="0.2">
      <c r="C349" s="6"/>
    </row>
    <row r="350" spans="3:3" x14ac:dyDescent="0.2">
      <c r="C350" s="6"/>
    </row>
    <row r="351" spans="3:3" x14ac:dyDescent="0.2">
      <c r="C351" s="6"/>
    </row>
    <row r="352" spans="3:3" x14ac:dyDescent="0.2">
      <c r="C352" s="6"/>
    </row>
    <row r="353" spans="3:3" x14ac:dyDescent="0.2">
      <c r="C353" s="6"/>
    </row>
    <row r="354" spans="3:3" x14ac:dyDescent="0.2">
      <c r="C354" s="6"/>
    </row>
    <row r="355" spans="3:3" x14ac:dyDescent="0.2">
      <c r="C355" s="6"/>
    </row>
    <row r="356" spans="3:3" x14ac:dyDescent="0.2">
      <c r="C356" s="6"/>
    </row>
    <row r="357" spans="3:3" x14ac:dyDescent="0.2">
      <c r="C357" s="6"/>
    </row>
    <row r="358" spans="3:3" x14ac:dyDescent="0.2">
      <c r="C358" s="6"/>
    </row>
    <row r="359" spans="3:3" x14ac:dyDescent="0.2">
      <c r="C359" s="6"/>
    </row>
    <row r="360" spans="3:3" x14ac:dyDescent="0.2">
      <c r="C360" s="6"/>
    </row>
    <row r="361" spans="3:3" x14ac:dyDescent="0.2">
      <c r="C361" s="6"/>
    </row>
    <row r="362" spans="3:3" x14ac:dyDescent="0.2">
      <c r="C362" s="6"/>
    </row>
    <row r="363" spans="3:3" x14ac:dyDescent="0.2">
      <c r="C363" s="6"/>
    </row>
    <row r="364" spans="3:3" x14ac:dyDescent="0.2">
      <c r="C364" s="6"/>
    </row>
    <row r="365" spans="3:3" x14ac:dyDescent="0.2">
      <c r="C365" s="6"/>
    </row>
    <row r="366" spans="3:3" x14ac:dyDescent="0.2">
      <c r="C366" s="6"/>
    </row>
    <row r="367" spans="3:3" x14ac:dyDescent="0.2">
      <c r="C367" s="6"/>
    </row>
    <row r="368" spans="3:3" x14ac:dyDescent="0.2">
      <c r="C368" s="6"/>
    </row>
    <row r="369" spans="3:3" x14ac:dyDescent="0.2">
      <c r="C369" s="6"/>
    </row>
    <row r="370" spans="3:3" x14ac:dyDescent="0.2">
      <c r="C370" s="6"/>
    </row>
    <row r="371" spans="3:3" x14ac:dyDescent="0.2">
      <c r="C371" s="6"/>
    </row>
    <row r="372" spans="3:3" x14ac:dyDescent="0.2">
      <c r="C372" s="6"/>
    </row>
    <row r="373" spans="3:3" x14ac:dyDescent="0.2">
      <c r="C373" s="6"/>
    </row>
    <row r="374" spans="3:3" x14ac:dyDescent="0.2">
      <c r="C374" s="6"/>
    </row>
    <row r="375" spans="3:3" x14ac:dyDescent="0.2">
      <c r="C375" s="6"/>
    </row>
    <row r="376" spans="3:3" x14ac:dyDescent="0.2">
      <c r="C376" s="6"/>
    </row>
    <row r="377" spans="3:3" x14ac:dyDescent="0.2">
      <c r="C377" s="6"/>
    </row>
    <row r="378" spans="3:3" x14ac:dyDescent="0.2">
      <c r="C378" s="6"/>
    </row>
    <row r="379" spans="3:3" x14ac:dyDescent="0.2">
      <c r="C379" s="6"/>
    </row>
    <row r="380" spans="3:3" x14ac:dyDescent="0.2">
      <c r="C380" s="6"/>
    </row>
    <row r="381" spans="3:3" x14ac:dyDescent="0.2">
      <c r="C381" s="6"/>
    </row>
    <row r="382" spans="3:3" x14ac:dyDescent="0.2">
      <c r="C382" s="6"/>
    </row>
    <row r="383" spans="3:3" x14ac:dyDescent="0.2">
      <c r="C383" s="6"/>
    </row>
    <row r="384" spans="3:3" x14ac:dyDescent="0.2">
      <c r="C384" s="6"/>
    </row>
    <row r="385" spans="3:3" x14ac:dyDescent="0.2">
      <c r="C385" s="6"/>
    </row>
    <row r="386" spans="3:3" x14ac:dyDescent="0.2">
      <c r="C386" s="6"/>
    </row>
    <row r="387" spans="3:3" x14ac:dyDescent="0.2">
      <c r="C387" s="6"/>
    </row>
    <row r="388" spans="3:3" x14ac:dyDescent="0.2">
      <c r="C388" s="6"/>
    </row>
    <row r="389" spans="3:3" x14ac:dyDescent="0.2">
      <c r="C389" s="6"/>
    </row>
    <row r="390" spans="3:3" x14ac:dyDescent="0.2">
      <c r="C390" s="6"/>
    </row>
    <row r="391" spans="3:3" x14ac:dyDescent="0.2">
      <c r="C391" s="6"/>
    </row>
    <row r="392" spans="3:3" x14ac:dyDescent="0.2">
      <c r="C392" s="6"/>
    </row>
    <row r="393" spans="3:3" x14ac:dyDescent="0.2">
      <c r="C393" s="6"/>
    </row>
    <row r="394" spans="3:3" x14ac:dyDescent="0.2">
      <c r="C394" s="6"/>
    </row>
    <row r="395" spans="3:3" x14ac:dyDescent="0.2">
      <c r="C395" s="6"/>
    </row>
    <row r="396" spans="3:3" x14ac:dyDescent="0.2">
      <c r="C396" s="6"/>
    </row>
    <row r="397" spans="3:3" x14ac:dyDescent="0.2">
      <c r="C397" s="6"/>
    </row>
    <row r="398" spans="3:3" x14ac:dyDescent="0.2">
      <c r="C398" s="6"/>
    </row>
    <row r="399" spans="3:3" x14ac:dyDescent="0.2">
      <c r="C399" s="6"/>
    </row>
    <row r="400" spans="3:3" x14ac:dyDescent="0.2">
      <c r="C400" s="6"/>
    </row>
    <row r="401" spans="3:3" x14ac:dyDescent="0.2">
      <c r="C401" s="6"/>
    </row>
    <row r="402" spans="3:3" x14ac:dyDescent="0.2">
      <c r="C402" s="6"/>
    </row>
    <row r="403" spans="3:3" x14ac:dyDescent="0.2">
      <c r="C403" s="6"/>
    </row>
    <row r="404" spans="3:3" x14ac:dyDescent="0.2">
      <c r="C404" s="6"/>
    </row>
    <row r="405" spans="3:3" x14ac:dyDescent="0.2">
      <c r="C405" s="6"/>
    </row>
    <row r="406" spans="3:3" x14ac:dyDescent="0.2">
      <c r="C406" s="6"/>
    </row>
    <row r="407" spans="3:3" x14ac:dyDescent="0.2">
      <c r="C407" s="6"/>
    </row>
    <row r="408" spans="3:3" x14ac:dyDescent="0.2">
      <c r="C408" s="6"/>
    </row>
    <row r="409" spans="3:3" x14ac:dyDescent="0.2">
      <c r="C409" s="6"/>
    </row>
    <row r="410" spans="3:3" x14ac:dyDescent="0.2">
      <c r="C410" s="6"/>
    </row>
    <row r="411" spans="3:3" x14ac:dyDescent="0.2">
      <c r="C411" s="6"/>
    </row>
    <row r="412" spans="3:3" x14ac:dyDescent="0.2">
      <c r="C412" s="6"/>
    </row>
    <row r="413" spans="3:3" x14ac:dyDescent="0.2">
      <c r="C413" s="6"/>
    </row>
    <row r="414" spans="3:3" x14ac:dyDescent="0.2">
      <c r="C414" s="6"/>
    </row>
    <row r="415" spans="3:3" x14ac:dyDescent="0.2">
      <c r="C415" s="6"/>
    </row>
    <row r="416" spans="3:3" x14ac:dyDescent="0.2">
      <c r="C416" s="6"/>
    </row>
    <row r="417" spans="3:3" x14ac:dyDescent="0.2">
      <c r="C417" s="6"/>
    </row>
    <row r="418" spans="3:3" x14ac:dyDescent="0.2">
      <c r="C418" s="6"/>
    </row>
    <row r="419" spans="3:3" x14ac:dyDescent="0.2">
      <c r="C419" s="6"/>
    </row>
  </sheetData>
  <sheetProtection algorithmName="SHA-512" hashValue="iyaLJvucinZEY5OXTysuaP/wR6rWGcKw5Nl5ukrwWcKwKouThO/OBjbdoIkOGTbNhYkh/J2WFXCYwb/0jvsCkA==" saltValue="pLui5ji9bkJiGlS7i1JTBQ==" spinCount="100000" sheet="1" formatCells="0" formatColumns="0" formatRows="0"/>
  <customSheetViews>
    <customSheetView guid="{B8E02330-2419-4DE6-AD01-7ACC7A5D18DD}" scale="75" topLeftCell="A178">
      <selection activeCell="A2" sqref="A2:H193"/>
      <pageMargins left="0.75" right="0.75" top="1" bottom="1" header="0.5" footer="0.5"/>
      <pageSetup orientation="portrait" r:id="rId1"/>
      <headerFooter alignWithMargins="0"/>
    </customSheetView>
  </customSheetViews>
  <mergeCells count="132">
    <mergeCell ref="H187:I187"/>
    <mergeCell ref="H181:I181"/>
    <mergeCell ref="H182:I182"/>
    <mergeCell ref="H183:I183"/>
    <mergeCell ref="H184:I184"/>
    <mergeCell ref="H185:I185"/>
    <mergeCell ref="H175:I175"/>
    <mergeCell ref="H176:I176"/>
    <mergeCell ref="H177:I177"/>
    <mergeCell ref="H178:I178"/>
    <mergeCell ref="H180:I180"/>
    <mergeCell ref="H186:I186"/>
    <mergeCell ref="H179:I179"/>
    <mergeCell ref="I50:I54"/>
    <mergeCell ref="I55:I59"/>
    <mergeCell ref="I60:I65"/>
    <mergeCell ref="I68:I74"/>
    <mergeCell ref="I97:I102"/>
    <mergeCell ref="I32:I36"/>
    <mergeCell ref="I123:I127"/>
    <mergeCell ref="I38:I42"/>
    <mergeCell ref="I43:I49"/>
    <mergeCell ref="I110:I113"/>
    <mergeCell ref="I119:I122"/>
    <mergeCell ref="I75:I80"/>
    <mergeCell ref="I81:I86"/>
    <mergeCell ref="I87:I92"/>
    <mergeCell ref="I93:I96"/>
    <mergeCell ref="I103:I109"/>
    <mergeCell ref="I115:I118"/>
    <mergeCell ref="H75:H80"/>
    <mergeCell ref="A75:A80"/>
    <mergeCell ref="B50:B54"/>
    <mergeCell ref="A50:A54"/>
    <mergeCell ref="A43:A49"/>
    <mergeCell ref="B60:B65"/>
    <mergeCell ref="B43:B49"/>
    <mergeCell ref="A68:A74"/>
    <mergeCell ref="B75:B80"/>
    <mergeCell ref="B68:B74"/>
    <mergeCell ref="H32:H36"/>
    <mergeCell ref="B3:B9"/>
    <mergeCell ref="A32:A36"/>
    <mergeCell ref="B32:B36"/>
    <mergeCell ref="H68:H74"/>
    <mergeCell ref="H50:H54"/>
    <mergeCell ref="H43:H49"/>
    <mergeCell ref="A55:A59"/>
    <mergeCell ref="H55:H59"/>
    <mergeCell ref="A60:A65"/>
    <mergeCell ref="H60:H65"/>
    <mergeCell ref="B55:B59"/>
    <mergeCell ref="H38:H42"/>
    <mergeCell ref="A38:A42"/>
    <mergeCell ref="B38:B42"/>
    <mergeCell ref="E1:I1"/>
    <mergeCell ref="I3:I9"/>
    <mergeCell ref="I10:I17"/>
    <mergeCell ref="I18:I24"/>
    <mergeCell ref="I25:I31"/>
    <mergeCell ref="A10:A17"/>
    <mergeCell ref="A3:A9"/>
    <mergeCell ref="B25:B31"/>
    <mergeCell ref="A18:A24"/>
    <mergeCell ref="B18:B24"/>
    <mergeCell ref="H18:H24"/>
    <mergeCell ref="A1:B1"/>
    <mergeCell ref="H25:H31"/>
    <mergeCell ref="H3:H9"/>
    <mergeCell ref="B10:B17"/>
    <mergeCell ref="H10:H17"/>
    <mergeCell ref="A25:A31"/>
    <mergeCell ref="H87:H92"/>
    <mergeCell ref="H81:H86"/>
    <mergeCell ref="H93:H96"/>
    <mergeCell ref="H97:H102"/>
    <mergeCell ref="H103:H109"/>
    <mergeCell ref="B97:B102"/>
    <mergeCell ref="B115:B118"/>
    <mergeCell ref="H115:H118"/>
    <mergeCell ref="A115:A118"/>
    <mergeCell ref="B93:B96"/>
    <mergeCell ref="A93:A96"/>
    <mergeCell ref="B103:B109"/>
    <mergeCell ref="A87:A92"/>
    <mergeCell ref="A110:A113"/>
    <mergeCell ref="B110:B113"/>
    <mergeCell ref="B149:B156"/>
    <mergeCell ref="A149:A156"/>
    <mergeCell ref="A103:A109"/>
    <mergeCell ref="A81:A86"/>
    <mergeCell ref="B119:B122"/>
    <mergeCell ref="A123:A127"/>
    <mergeCell ref="A97:A102"/>
    <mergeCell ref="B81:B86"/>
    <mergeCell ref="B87:B92"/>
    <mergeCell ref="A119:A122"/>
    <mergeCell ref="I128:I134"/>
    <mergeCell ref="I135:I139"/>
    <mergeCell ref="I143:I148"/>
    <mergeCell ref="H123:H127"/>
    <mergeCell ref="B135:B139"/>
    <mergeCell ref="A143:A148"/>
    <mergeCell ref="A135:A139"/>
    <mergeCell ref="A128:A134"/>
    <mergeCell ref="H143:H148"/>
    <mergeCell ref="H135:H139"/>
    <mergeCell ref="H128:H134"/>
    <mergeCell ref="H119:H122"/>
    <mergeCell ref="H110:H113"/>
    <mergeCell ref="B123:B127"/>
    <mergeCell ref="D168:F168"/>
    <mergeCell ref="H174:I174"/>
    <mergeCell ref="I159:I162"/>
    <mergeCell ref="A173:H173"/>
    <mergeCell ref="B128:B134"/>
    <mergeCell ref="A159:A162"/>
    <mergeCell ref="A171:B172"/>
    <mergeCell ref="D170:H170"/>
    <mergeCell ref="C172:E172"/>
    <mergeCell ref="C171:E171"/>
    <mergeCell ref="B159:B162"/>
    <mergeCell ref="H171:I171"/>
    <mergeCell ref="H172:I172"/>
    <mergeCell ref="D169:F169"/>
    <mergeCell ref="D166:F166"/>
    <mergeCell ref="D164:H164"/>
    <mergeCell ref="D165:F165"/>
    <mergeCell ref="H159:H162"/>
    <mergeCell ref="B143:B148"/>
    <mergeCell ref="I149:I156"/>
    <mergeCell ref="H149:H156"/>
  </mergeCells>
  <phoneticPr fontId="3" type="noConversion"/>
  <pageMargins left="0.75" right="0.75" top="1" bottom="1" header="0.5" footer="0.5"/>
  <pageSetup orientation="portrait"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BX400"/>
  <sheetViews>
    <sheetView topLeftCell="A111" zoomScaleNormal="100" workbookViewId="0">
      <selection activeCell="G138" sqref="G138"/>
    </sheetView>
  </sheetViews>
  <sheetFormatPr defaultColWidth="9.33203125" defaultRowHeight="12.75" x14ac:dyDescent="0.2"/>
  <cols>
    <col min="1" max="1" width="5.83203125" style="20" customWidth="1"/>
    <col min="2" max="2" width="18.83203125" style="20" customWidth="1"/>
    <col min="3" max="3" width="75.83203125" style="21" customWidth="1"/>
    <col min="4" max="6" width="7.83203125" style="516" customWidth="1"/>
    <col min="7" max="7" width="10.1640625" style="517" customWidth="1"/>
    <col min="8" max="8" width="64.83203125" style="10" customWidth="1"/>
    <col min="9" max="9" width="11.6640625" style="5" customWidth="1"/>
    <col min="10" max="16384" width="9.33203125" style="28"/>
  </cols>
  <sheetData>
    <row r="1" spans="1:9" s="1441" customFormat="1" ht="54" customHeight="1" thickBot="1" x14ac:dyDescent="0.25">
      <c r="A1" s="1927" t="s">
        <v>1359</v>
      </c>
      <c r="B1" s="2068"/>
      <c r="C1" s="1407" t="s">
        <v>1083</v>
      </c>
      <c r="D1" s="1437" t="s">
        <v>2361</v>
      </c>
      <c r="E1" s="2085"/>
      <c r="F1" s="2086"/>
      <c r="G1" s="2086"/>
      <c r="H1" s="2086"/>
      <c r="I1" s="2086"/>
    </row>
    <row r="2" spans="1:9" s="970" customFormat="1" ht="36" customHeight="1" thickBot="1" x14ac:dyDescent="0.35">
      <c r="A2" s="861" t="s">
        <v>88</v>
      </c>
      <c r="B2" s="833" t="s">
        <v>1424</v>
      </c>
      <c r="C2" s="862" t="s">
        <v>1164</v>
      </c>
      <c r="D2" s="969" t="s">
        <v>45</v>
      </c>
      <c r="E2" s="845" t="s">
        <v>1188</v>
      </c>
      <c r="F2" s="846" t="s">
        <v>1189</v>
      </c>
      <c r="G2" s="847" t="s">
        <v>2558</v>
      </c>
      <c r="H2" s="848" t="s">
        <v>1117</v>
      </c>
      <c r="I2" s="878" t="s">
        <v>2427</v>
      </c>
    </row>
    <row r="3" spans="1:9" ht="30" customHeight="1" thickBot="1" x14ac:dyDescent="0.25">
      <c r="A3" s="2042" t="str">
        <f>OF!A9</f>
        <v>OF2</v>
      </c>
      <c r="B3" s="2042" t="str">
        <f>OF!B9</f>
        <v xml:space="preserve">Ponded Area Within 1 km.  </v>
      </c>
      <c r="C3" s="470" t="str">
        <f>OF!C9</f>
        <v>The area of surface water ponded during most of the growing season that is both (1) in or adjacent to the AA and (2) within 1 km is:</v>
      </c>
      <c r="D3" s="512"/>
      <c r="E3" s="191"/>
      <c r="F3" s="126"/>
      <c r="G3" s="492">
        <f>MAX(F4:F9)/MAX(E4:E9)</f>
        <v>0</v>
      </c>
      <c r="H3" s="1669" t="s">
        <v>2337</v>
      </c>
      <c r="I3" s="1669" t="s">
        <v>2863</v>
      </c>
    </row>
    <row r="4" spans="1:9" ht="15.6" customHeight="1" x14ac:dyDescent="0.2">
      <c r="A4" s="2043"/>
      <c r="B4" s="2043"/>
      <c r="C4" s="471" t="str">
        <f>OF!C10</f>
        <v>&lt;0.01 hectare (about 10 m x 10 m).</v>
      </c>
      <c r="D4" s="175">
        <f>OF!D10</f>
        <v>0</v>
      </c>
      <c r="E4" s="186">
        <v>0</v>
      </c>
      <c r="F4" s="40">
        <f t="shared" ref="F4:F9" si="0">D4*E4</f>
        <v>0</v>
      </c>
      <c r="G4" s="494"/>
      <c r="H4" s="1670"/>
      <c r="I4" s="1670"/>
    </row>
    <row r="5" spans="1:9" ht="15.6" customHeight="1" x14ac:dyDescent="0.2">
      <c r="A5" s="2043"/>
      <c r="B5" s="2043"/>
      <c r="C5" s="472" t="str">
        <f>OF!C11</f>
        <v>0.01 - 0.1 hectare.</v>
      </c>
      <c r="D5" s="175">
        <f>OF!D11</f>
        <v>0</v>
      </c>
      <c r="E5" s="186">
        <v>2</v>
      </c>
      <c r="F5" s="40">
        <f t="shared" si="0"/>
        <v>0</v>
      </c>
      <c r="G5" s="494"/>
      <c r="H5" s="1670"/>
      <c r="I5" s="1670"/>
    </row>
    <row r="6" spans="1:9" ht="15.6" customHeight="1" x14ac:dyDescent="0.2">
      <c r="A6" s="2043"/>
      <c r="B6" s="2043"/>
      <c r="C6" s="472" t="str">
        <f>OF!C12</f>
        <v>0.1 - 1 hectare.</v>
      </c>
      <c r="D6" s="175">
        <f>OF!D12</f>
        <v>0</v>
      </c>
      <c r="E6" s="186">
        <v>3</v>
      </c>
      <c r="F6" s="40">
        <f t="shared" si="0"/>
        <v>0</v>
      </c>
      <c r="G6" s="494"/>
      <c r="H6" s="1670"/>
      <c r="I6" s="1670"/>
    </row>
    <row r="7" spans="1:9" ht="15.6" customHeight="1" x14ac:dyDescent="0.2">
      <c r="A7" s="2043"/>
      <c r="B7" s="2043"/>
      <c r="C7" s="472" t="str">
        <f>OF!C13</f>
        <v>1 to 10 hectares.</v>
      </c>
      <c r="D7" s="175">
        <f>OF!D13</f>
        <v>0</v>
      </c>
      <c r="E7" s="186">
        <v>4</v>
      </c>
      <c r="F7" s="40">
        <f t="shared" si="0"/>
        <v>0</v>
      </c>
      <c r="G7" s="494"/>
      <c r="H7" s="1670"/>
      <c r="I7" s="1670"/>
    </row>
    <row r="8" spans="1:9" ht="15.6" customHeight="1" x14ac:dyDescent="0.2">
      <c r="A8" s="2043"/>
      <c r="B8" s="2043"/>
      <c r="C8" s="472" t="str">
        <f>OF!C14</f>
        <v>10 to 100 hectares.</v>
      </c>
      <c r="D8" s="175">
        <f>OF!D14</f>
        <v>0</v>
      </c>
      <c r="E8" s="186">
        <v>5</v>
      </c>
      <c r="F8" s="40">
        <f t="shared" si="0"/>
        <v>0</v>
      </c>
      <c r="G8" s="494"/>
      <c r="H8" s="1670"/>
      <c r="I8" s="1670"/>
    </row>
    <row r="9" spans="1:9" ht="15.6" customHeight="1" thickBot="1" x14ac:dyDescent="0.25">
      <c r="A9" s="2044"/>
      <c r="B9" s="2044"/>
      <c r="C9" s="473" t="str">
        <f>OF!C15</f>
        <v>&gt;100 hectares.</v>
      </c>
      <c r="D9" s="176">
        <f>OF!D15</f>
        <v>0</v>
      </c>
      <c r="E9" s="186">
        <v>7</v>
      </c>
      <c r="F9" s="40">
        <f t="shared" si="0"/>
        <v>0</v>
      </c>
      <c r="G9" s="495"/>
      <c r="H9" s="1671"/>
      <c r="I9" s="1671"/>
    </row>
    <row r="10" spans="1:9" ht="21" customHeight="1" thickBot="1" x14ac:dyDescent="0.25">
      <c r="A10" s="2045" t="str">
        <f>OF!A56</f>
        <v>OF11</v>
      </c>
      <c r="B10" s="2057" t="str">
        <f>OF!B56</f>
        <v>Distance to Nearest Maintained Road</v>
      </c>
      <c r="C10" s="470" t="str">
        <f>OF!C56</f>
        <v>From the center of the AA, the distance to the nearest maintained public road (dirt or paved) is:</v>
      </c>
      <c r="D10" s="126"/>
      <c r="E10" s="191"/>
      <c r="F10" s="100"/>
      <c r="G10" s="492">
        <f>MAX(F11:F16)/MAX(E11:E16)</f>
        <v>0</v>
      </c>
      <c r="H10" s="1669" t="s">
        <v>2338</v>
      </c>
      <c r="I10" s="1865" t="s">
        <v>230</v>
      </c>
    </row>
    <row r="11" spans="1:9" ht="15" customHeight="1" x14ac:dyDescent="0.2">
      <c r="A11" s="2046"/>
      <c r="B11" s="2048"/>
      <c r="C11" s="471" t="str">
        <f>OF!C57</f>
        <v>&lt;10 m.</v>
      </c>
      <c r="D11" s="174">
        <f>OF!D57</f>
        <v>0</v>
      </c>
      <c r="E11" s="187">
        <v>0</v>
      </c>
      <c r="F11" s="40">
        <f t="shared" ref="F11:F16" si="1">D11*E11</f>
        <v>0</v>
      </c>
      <c r="G11" s="493"/>
      <c r="H11" s="1670"/>
      <c r="I11" s="1866"/>
    </row>
    <row r="12" spans="1:9" ht="15" customHeight="1" x14ac:dyDescent="0.2">
      <c r="A12" s="2046"/>
      <c r="B12" s="2048"/>
      <c r="C12" s="472" t="str">
        <f>OF!C58</f>
        <v>10 - 25 m.</v>
      </c>
      <c r="D12" s="175">
        <f>OF!D58</f>
        <v>0</v>
      </c>
      <c r="E12" s="187">
        <v>2</v>
      </c>
      <c r="F12" s="40">
        <f t="shared" si="1"/>
        <v>0</v>
      </c>
      <c r="G12" s="494"/>
      <c r="H12" s="1670"/>
      <c r="I12" s="1866"/>
    </row>
    <row r="13" spans="1:9" ht="15" customHeight="1" x14ac:dyDescent="0.2">
      <c r="A13" s="2046"/>
      <c r="B13" s="2048"/>
      <c r="C13" s="472" t="str">
        <f>OF!C59</f>
        <v>25 - 50 m.</v>
      </c>
      <c r="D13" s="175">
        <f>OF!D59</f>
        <v>0</v>
      </c>
      <c r="E13" s="187">
        <v>3</v>
      </c>
      <c r="F13" s="40">
        <f t="shared" si="1"/>
        <v>0</v>
      </c>
      <c r="G13" s="494"/>
      <c r="H13" s="1670"/>
      <c r="I13" s="1866"/>
    </row>
    <row r="14" spans="1:9" ht="15" customHeight="1" x14ac:dyDescent="0.2">
      <c r="A14" s="2046"/>
      <c r="B14" s="2048"/>
      <c r="C14" s="472" t="str">
        <f>OF!C60</f>
        <v>50 - 100 m.</v>
      </c>
      <c r="D14" s="175">
        <f>OF!D60</f>
        <v>0</v>
      </c>
      <c r="E14" s="187">
        <v>4</v>
      </c>
      <c r="F14" s="40">
        <f t="shared" si="1"/>
        <v>0</v>
      </c>
      <c r="G14" s="494"/>
      <c r="H14" s="1670"/>
      <c r="I14" s="1866"/>
    </row>
    <row r="15" spans="1:9" ht="15" customHeight="1" x14ac:dyDescent="0.2">
      <c r="A15" s="2046"/>
      <c r="B15" s="2048"/>
      <c r="C15" s="472" t="str">
        <f>OF!C61</f>
        <v>100 - 500 m.</v>
      </c>
      <c r="D15" s="175">
        <f>OF!D61</f>
        <v>0</v>
      </c>
      <c r="E15" s="187">
        <v>5</v>
      </c>
      <c r="F15" s="40">
        <f t="shared" si="1"/>
        <v>0</v>
      </c>
      <c r="G15" s="494"/>
      <c r="H15" s="1670"/>
      <c r="I15" s="1866"/>
    </row>
    <row r="16" spans="1:9" ht="15.6" customHeight="1" thickBot="1" x14ac:dyDescent="0.25">
      <c r="A16" s="2047"/>
      <c r="B16" s="2049"/>
      <c r="C16" s="473" t="str">
        <f>OF!C62</f>
        <v>&gt;500 m.</v>
      </c>
      <c r="D16" s="176">
        <f>OF!D62</f>
        <v>0</v>
      </c>
      <c r="E16" s="188">
        <v>8</v>
      </c>
      <c r="F16" s="98">
        <f t="shared" si="1"/>
        <v>0</v>
      </c>
      <c r="G16" s="495"/>
      <c r="H16" s="1671"/>
      <c r="I16" s="1867"/>
    </row>
    <row r="17" spans="1:9" ht="30" customHeight="1" thickBot="1" x14ac:dyDescent="0.25">
      <c r="A17" s="2046" t="str">
        <f>OF!A64</f>
        <v>OF13</v>
      </c>
      <c r="B17" s="2048" t="str">
        <f>OF!B64</f>
        <v>Distance to Ponded Water</v>
      </c>
      <c r="C17" s="474" t="str">
        <f>OF!C64</f>
        <v>The distance from the AA center to the closest (but separate) ponded water body visible in GoogleEarth imagery is:</v>
      </c>
      <c r="D17" s="496"/>
      <c r="E17" s="186"/>
      <c r="F17" s="46"/>
      <c r="G17" s="656" t="str">
        <f>IF((Marsh+Fen_&gt;0),MAX(F18:F24)/MAX(E18:E24),"")</f>
        <v/>
      </c>
      <c r="H17" s="1670" t="s">
        <v>1471</v>
      </c>
      <c r="I17" s="1865" t="s">
        <v>231</v>
      </c>
    </row>
    <row r="18" spans="1:9" ht="27" customHeight="1" x14ac:dyDescent="0.2">
      <c r="A18" s="2054"/>
      <c r="B18" s="2061"/>
      <c r="C18" s="471" t="str">
        <f>OF!C65</f>
        <v xml:space="preserve">&lt;50 m, and not separated by any width of paved roads, stretches of open water, row crops, lawn, bare ground, or impervious surface. </v>
      </c>
      <c r="D18" s="174">
        <f>OF!D65</f>
        <v>0</v>
      </c>
      <c r="E18" s="187">
        <v>6</v>
      </c>
      <c r="F18" s="40">
        <f t="shared" ref="F18:F24" si="2">D18*E18</f>
        <v>0</v>
      </c>
      <c r="G18" s="652"/>
      <c r="H18" s="1670"/>
      <c r="I18" s="1866"/>
    </row>
    <row r="19" spans="1:9" ht="15" customHeight="1" x14ac:dyDescent="0.2">
      <c r="A19" s="2054"/>
      <c r="B19" s="2061"/>
      <c r="C19" s="471" t="str">
        <f>OF!C66</f>
        <v>&lt;50 m, but completely separated by those features.</v>
      </c>
      <c r="D19" s="174">
        <f>OF!D66</f>
        <v>0</v>
      </c>
      <c r="E19" s="187">
        <v>5</v>
      </c>
      <c r="F19" s="40">
        <f t="shared" si="2"/>
        <v>0</v>
      </c>
      <c r="G19" s="504"/>
      <c r="H19" s="1670"/>
      <c r="I19" s="1866"/>
    </row>
    <row r="20" spans="1:9" ht="15" customHeight="1" x14ac:dyDescent="0.2">
      <c r="A20" s="2054"/>
      <c r="B20" s="2061"/>
      <c r="C20" s="471" t="str">
        <f>OF!C67</f>
        <v>50-500 m, and not separated.</v>
      </c>
      <c r="D20" s="174">
        <f>OF!D67</f>
        <v>0</v>
      </c>
      <c r="E20" s="187">
        <v>4</v>
      </c>
      <c r="F20" s="40">
        <f t="shared" si="2"/>
        <v>0</v>
      </c>
      <c r="G20" s="504"/>
      <c r="H20" s="1670"/>
      <c r="I20" s="1866"/>
    </row>
    <row r="21" spans="1:9" ht="15" customHeight="1" x14ac:dyDescent="0.2">
      <c r="A21" s="2054"/>
      <c r="B21" s="2061"/>
      <c r="C21" s="471" t="str">
        <f>OF!C68</f>
        <v>50-500 m, but separated by those features.</v>
      </c>
      <c r="D21" s="174">
        <f>OF!D68</f>
        <v>0</v>
      </c>
      <c r="E21" s="187">
        <v>3</v>
      </c>
      <c r="F21" s="40">
        <f t="shared" si="2"/>
        <v>0</v>
      </c>
      <c r="G21" s="504"/>
      <c r="H21" s="1670"/>
      <c r="I21" s="1866"/>
    </row>
    <row r="22" spans="1:9" ht="15" customHeight="1" x14ac:dyDescent="0.2">
      <c r="A22" s="2054"/>
      <c r="B22" s="2061"/>
      <c r="C22" s="471" t="str">
        <f>OF!C69</f>
        <v>0.5 - 1 km, and not separated.</v>
      </c>
      <c r="D22" s="174">
        <f>OF!D69</f>
        <v>0</v>
      </c>
      <c r="E22" s="187">
        <v>2</v>
      </c>
      <c r="F22" s="40">
        <f t="shared" si="2"/>
        <v>0</v>
      </c>
      <c r="G22" s="504"/>
      <c r="H22" s="1670"/>
      <c r="I22" s="1866"/>
    </row>
    <row r="23" spans="1:9" ht="15" customHeight="1" x14ac:dyDescent="0.2">
      <c r="A23" s="2054"/>
      <c r="B23" s="2061"/>
      <c r="C23" s="471" t="str">
        <f>OF!C70</f>
        <v>0.5 - 1 km, but separated by those features.</v>
      </c>
      <c r="D23" s="174">
        <f>OF!D70</f>
        <v>0</v>
      </c>
      <c r="E23" s="190">
        <v>1</v>
      </c>
      <c r="F23" s="498">
        <f t="shared" si="2"/>
        <v>0</v>
      </c>
      <c r="G23" s="653"/>
      <c r="H23" s="1670"/>
      <c r="I23" s="1866"/>
    </row>
    <row r="24" spans="1:9" ht="15" customHeight="1" thickBot="1" x14ac:dyDescent="0.25">
      <c r="A24" s="2055"/>
      <c r="B24" s="2062"/>
      <c r="C24" s="490" t="str">
        <f>OF!C71</f>
        <v>None of the above (the closest patches or corridors that large are &gt;1 km away).</v>
      </c>
      <c r="D24" s="491">
        <f>OF!D71</f>
        <v>0</v>
      </c>
      <c r="E24" s="188">
        <v>0</v>
      </c>
      <c r="F24" s="98">
        <f t="shared" si="2"/>
        <v>0</v>
      </c>
      <c r="G24" s="505"/>
      <c r="H24" s="1671"/>
      <c r="I24" s="1867"/>
    </row>
    <row r="25" spans="1:9" ht="32.450000000000003" customHeight="1" thickBot="1" x14ac:dyDescent="0.25">
      <c r="A25" s="2045" t="str">
        <f>OF!A72</f>
        <v>OF14</v>
      </c>
      <c r="B25" s="2057" t="str">
        <f>OF!B72</f>
        <v>Distance to Large Ponded Water</v>
      </c>
      <c r="C25" s="470" t="str">
        <f>OF!C72</f>
        <v>The distance from the AA center to the closest (but separate) non-tidal body of water that is ponded during most of the year and is larger than 8 hectares during most of a normal year is:</v>
      </c>
      <c r="D25" s="126"/>
      <c r="E25" s="191"/>
      <c r="F25" s="500"/>
      <c r="G25" s="492" t="str">
        <f>IF((Fen_ + Marsh&gt;0),MAX(F26:F31)/MAX(E26:E31),"")</f>
        <v/>
      </c>
      <c r="H25" s="1669" t="s">
        <v>2886</v>
      </c>
      <c r="I25" s="1865" t="s">
        <v>232</v>
      </c>
    </row>
    <row r="26" spans="1:9" ht="15" customHeight="1" x14ac:dyDescent="0.2">
      <c r="A26" s="2054"/>
      <c r="B26" s="2061"/>
      <c r="C26" s="471" t="str">
        <f>OF!C73</f>
        <v>&lt;100 m.</v>
      </c>
      <c r="D26" s="174">
        <f>OF!D73</f>
        <v>0</v>
      </c>
      <c r="E26" s="187">
        <v>6</v>
      </c>
      <c r="F26" s="40">
        <f>LakeNear13*E26</f>
        <v>0</v>
      </c>
      <c r="G26" s="493"/>
      <c r="H26" s="1670"/>
      <c r="I26" s="1866"/>
    </row>
    <row r="27" spans="1:9" ht="15" customHeight="1" x14ac:dyDescent="0.2">
      <c r="A27" s="2054"/>
      <c r="B27" s="2061"/>
      <c r="C27" s="471" t="str">
        <f>OF!C74</f>
        <v>100 m - 1 km.</v>
      </c>
      <c r="D27" s="174">
        <f>OF!D74</f>
        <v>0</v>
      </c>
      <c r="E27" s="187">
        <v>5</v>
      </c>
      <c r="F27" s="40">
        <f>LakeNear13*E27</f>
        <v>0</v>
      </c>
      <c r="G27" s="493"/>
      <c r="H27" s="1670"/>
      <c r="I27" s="1866"/>
    </row>
    <row r="28" spans="1:9" ht="15" customHeight="1" x14ac:dyDescent="0.2">
      <c r="A28" s="2054"/>
      <c r="B28" s="2061"/>
      <c r="C28" s="471" t="str">
        <f>OF!C75</f>
        <v>1 -2 km.</v>
      </c>
      <c r="D28" s="174">
        <f>OF!D75</f>
        <v>0</v>
      </c>
      <c r="E28" s="187">
        <v>4</v>
      </c>
      <c r="F28" s="40">
        <f>LakeNear13*E28</f>
        <v>0</v>
      </c>
      <c r="G28" s="493"/>
      <c r="H28" s="1670"/>
      <c r="I28" s="1866"/>
    </row>
    <row r="29" spans="1:9" ht="15" customHeight="1" x14ac:dyDescent="0.2">
      <c r="A29" s="2054"/>
      <c r="B29" s="2061"/>
      <c r="C29" s="471" t="str">
        <f>OF!C76</f>
        <v>2-5 km.</v>
      </c>
      <c r="D29" s="174">
        <f>OF!D76</f>
        <v>0</v>
      </c>
      <c r="E29" s="187">
        <v>3</v>
      </c>
      <c r="F29" s="40">
        <f>LakeNear13*E29</f>
        <v>0</v>
      </c>
      <c r="G29" s="493"/>
      <c r="H29" s="1670"/>
      <c r="I29" s="1866"/>
    </row>
    <row r="30" spans="1:9" ht="15" customHeight="1" x14ac:dyDescent="0.2">
      <c r="A30" s="2054"/>
      <c r="B30" s="2061"/>
      <c r="C30" s="471" t="str">
        <f>OF!C77</f>
        <v>5-10 km.</v>
      </c>
      <c r="D30" s="174">
        <f>OF!D77</f>
        <v>0</v>
      </c>
      <c r="E30" s="187">
        <v>2</v>
      </c>
      <c r="F30" s="40">
        <f>D30*E30</f>
        <v>0</v>
      </c>
      <c r="G30" s="494"/>
      <c r="H30" s="1670"/>
      <c r="I30" s="1866"/>
    </row>
    <row r="31" spans="1:9" ht="15.6" customHeight="1" thickBot="1" x14ac:dyDescent="0.25">
      <c r="A31" s="2055"/>
      <c r="B31" s="2062"/>
      <c r="C31" s="490" t="str">
        <f>OF!C78</f>
        <v>&gt;10 km.</v>
      </c>
      <c r="D31" s="491">
        <f>OF!D78</f>
        <v>0</v>
      </c>
      <c r="E31" s="188">
        <v>0</v>
      </c>
      <c r="F31" s="98">
        <f>D31*E31</f>
        <v>0</v>
      </c>
      <c r="G31" s="495"/>
      <c r="H31" s="1671"/>
      <c r="I31" s="1867"/>
    </row>
    <row r="32" spans="1:9" ht="45" customHeight="1" thickBot="1" x14ac:dyDescent="0.25">
      <c r="A32" s="2072" t="str">
        <f>OF!A99</f>
        <v>OF20</v>
      </c>
      <c r="B32" s="2069" t="str">
        <f>OF!B99</f>
        <v xml:space="preserve">Degraded Water Upstream </v>
      </c>
      <c r="C32" s="483" t="str">
        <f>OF!C99</f>
        <v xml:space="preserve">Sampling indicates a problem with concentrations of metals, hydrocarbons, nutrients, or other substances (excluding bacteria, acidic water, high temperatures) being present at levels harmful to aquatic life or humans, and:  </v>
      </c>
      <c r="D32" s="496"/>
      <c r="E32" s="217"/>
      <c r="F32" s="425"/>
      <c r="G32" s="328">
        <f>IF((D36=1),"", IF((D35=1),1, IF((D34=1),0.2, 0)))</f>
        <v>0</v>
      </c>
      <c r="H32" s="1670" t="s">
        <v>262</v>
      </c>
      <c r="I32" s="1865" t="s">
        <v>616</v>
      </c>
    </row>
    <row r="33" spans="1:9" ht="15" customHeight="1" x14ac:dyDescent="0.2">
      <c r="A33" s="2072"/>
      <c r="B33" s="2070"/>
      <c r="C33" s="1337" t="str">
        <f>OF!C100</f>
        <v>The condition is present within the AA.</v>
      </c>
      <c r="D33" s="178">
        <f>OF!D100</f>
        <v>0</v>
      </c>
      <c r="E33" s="211"/>
      <c r="F33" s="211"/>
      <c r="G33" s="383"/>
      <c r="H33" s="1670"/>
      <c r="I33" s="1866"/>
    </row>
    <row r="34" spans="1:9" ht="27" customHeight="1" x14ac:dyDescent="0.2">
      <c r="A34" s="2072"/>
      <c r="B34" s="2070"/>
      <c r="C34" s="1338" t="str">
        <f>OF!C101</f>
        <v>The condition is present in waters within 1 km that flow into the AA, but has not been documented in the AA itself.</v>
      </c>
      <c r="D34" s="177">
        <f>OF!D101</f>
        <v>0</v>
      </c>
      <c r="E34" s="211"/>
      <c r="F34" s="211"/>
      <c r="G34" s="384"/>
      <c r="H34" s="1670"/>
      <c r="I34" s="1866"/>
    </row>
    <row r="35" spans="1:9" ht="27" customHeight="1" x14ac:dyDescent="0.2">
      <c r="A35" s="2072"/>
      <c r="B35" s="2070"/>
      <c r="C35" s="1338" t="str">
        <f>OF!C102</f>
        <v>Sampling during both low water periods and times with high runoff (storms, snowmelt) indicates no problems in either the AA or inflowing waters.</v>
      </c>
      <c r="D35" s="177">
        <f>OF!D102</f>
        <v>0</v>
      </c>
      <c r="E35" s="211"/>
      <c r="F35" s="211"/>
      <c r="G35" s="384"/>
      <c r="H35" s="1670"/>
      <c r="I35" s="1866"/>
    </row>
    <row r="36" spans="1:9" ht="27" customHeight="1" thickBot="1" x14ac:dyDescent="0.25">
      <c r="A36" s="2073"/>
      <c r="B36" s="2071"/>
      <c r="C36" s="1338" t="str">
        <f>OF!C103</f>
        <v>Data are insufficient (no or inadequate sampling within 1 km, or condition exists only at &gt;1 km upstream). This is the situation for nearly all wetlands in this region.</v>
      </c>
      <c r="D36" s="177">
        <f>OF!D103</f>
        <v>0</v>
      </c>
      <c r="E36" s="213"/>
      <c r="F36" s="213"/>
      <c r="G36" s="391"/>
      <c r="H36" s="1670"/>
      <c r="I36" s="1867"/>
    </row>
    <row r="37" spans="1:9" ht="29.25" customHeight="1" thickBot="1" x14ac:dyDescent="0.25">
      <c r="A37" s="2074" t="str">
        <f>OF!A134</f>
        <v>OF28</v>
      </c>
      <c r="B37" s="2058" t="str">
        <f>OF!B134</f>
        <v>Fish Access or Use</v>
      </c>
      <c r="C37" s="482" t="str">
        <f>OF!C134</f>
        <v>According to agency biologists and/or your own observations, the AA. [Mark just the first choice that is true.]:</v>
      </c>
      <c r="D37" s="126"/>
      <c r="E37" s="191"/>
      <c r="F37" s="126"/>
      <c r="G37" s="503" t="str">
        <f>IF((NoPonded=1),"",IF((D41=1),1, ""))</f>
        <v/>
      </c>
      <c r="H37" s="1669" t="s">
        <v>1308</v>
      </c>
      <c r="I37" s="1865" t="s">
        <v>1145</v>
      </c>
    </row>
    <row r="38" spans="1:9" ht="42" customHeight="1" x14ac:dyDescent="0.2">
      <c r="A38" s="2075"/>
      <c r="B38" s="2059"/>
      <c r="C38" s="1339" t="str">
        <f>OF!C135</f>
        <v>Is known to support rearing and/or spawning by Atlantic salmon or other anadromous species or eels.  In NB, consult Figure A-2 in Appendix A of the Manual.  Contact local fishery biologists, review the ACCDC report, and visit these websites: http://www.salmonatlas.com/atlanticsalmon/canada-east/index.1.html    http://atlanticsalmonfederation.org/rivers/introduction.html</v>
      </c>
      <c r="D38" s="174">
        <f>OF!D135</f>
        <v>0</v>
      </c>
      <c r="E38" s="187">
        <v>1</v>
      </c>
      <c r="F38" s="40">
        <f>D38*E38</f>
        <v>0</v>
      </c>
      <c r="G38" s="504"/>
      <c r="H38" s="1670"/>
      <c r="I38" s="1866"/>
    </row>
    <row r="39" spans="1:9" ht="42" customHeight="1" x14ac:dyDescent="0.2">
      <c r="A39" s="2075"/>
      <c r="B39" s="2059"/>
      <c r="C39" s="1340" t="str">
        <f>OF!C136</f>
        <v>Has not been documented to support Atlantic salmon rearing and/or spawning, but is connected to nearby waters likely to contain Atlantic salmon or other anadromous species or eels and is probably accessed by those during some conditions.</v>
      </c>
      <c r="D39" s="175">
        <f>OF!D136</f>
        <v>0</v>
      </c>
      <c r="E39" s="187">
        <v>1</v>
      </c>
      <c r="F39" s="40">
        <f>D39*E39</f>
        <v>0</v>
      </c>
      <c r="G39" s="504"/>
      <c r="H39" s="1670"/>
      <c r="I39" s="1866"/>
    </row>
    <row r="40" spans="1:9" ht="27" customHeight="1" x14ac:dyDescent="0.2">
      <c r="A40" s="2075"/>
      <c r="B40" s="2059"/>
      <c r="C40" s="1340" t="str">
        <f>OF!C137</f>
        <v>Is probably is not accessed by any anadromous fish species but is known or likely to have other fish at least seasonally.</v>
      </c>
      <c r="D40" s="175">
        <f>OF!D137</f>
        <v>0</v>
      </c>
      <c r="E40" s="187">
        <v>1</v>
      </c>
      <c r="F40" s="40">
        <f>D40*E40</f>
        <v>0</v>
      </c>
      <c r="G40" s="504"/>
      <c r="H40" s="1670"/>
      <c r="I40" s="1866"/>
    </row>
    <row r="41" spans="1:9" ht="27" customHeight="1" thickBot="1" x14ac:dyDescent="0.25">
      <c r="A41" s="2076"/>
      <c r="B41" s="2060"/>
      <c r="C41" s="1341" t="str">
        <f>OF!C138</f>
        <v xml:space="preserve">Is known or likely to be fishless (e.g., too small, dry, and/or not accessible even temporarily, and not stocked). </v>
      </c>
      <c r="D41" s="176">
        <f>OF!D138</f>
        <v>0</v>
      </c>
      <c r="E41" s="188">
        <v>2</v>
      </c>
      <c r="F41" s="98">
        <f>D41*E41</f>
        <v>0</v>
      </c>
      <c r="G41" s="505"/>
      <c r="H41" s="1671"/>
      <c r="I41" s="1867"/>
    </row>
    <row r="42" spans="1:9" ht="60" customHeight="1" thickBot="1" x14ac:dyDescent="0.25">
      <c r="A42" s="92" t="str">
        <f>OF!A146</f>
        <v>OF31</v>
      </c>
      <c r="B42" s="92" t="str">
        <f>OF!B146</f>
        <v>Black Duck Nesting Area</v>
      </c>
      <c r="C42" s="108" t="str">
        <f>OF!C146</f>
        <v>In Google Earth, open the KMZ file that accompanies this calculator, called BlackDuck.  Adjust its alignment and opacity. Determine the predicted density (pairs per 25 sq. km) of nesting American Black Duck in the AA's vicinity: &lt;10 (enter 0), 10-20 (enter 1), 20-30 (enter 2), &gt;30 (enter 3).  If outside of region shown in map, change to blank.</v>
      </c>
      <c r="D42" s="114">
        <f>IF((OF!D146=""),"",OF!D146)</f>
        <v>0</v>
      </c>
      <c r="E42" s="210"/>
      <c r="F42" s="95"/>
      <c r="G42" s="1445">
        <f>IF((D42=""),"", D42/3)</f>
        <v>0</v>
      </c>
      <c r="H42" s="55" t="s">
        <v>2347</v>
      </c>
      <c r="I42" s="894" t="s">
        <v>1585</v>
      </c>
    </row>
    <row r="43" spans="1:9" s="25" customFormat="1" ht="27.75" customHeight="1" thickBot="1" x14ac:dyDescent="0.25">
      <c r="A43" s="2042" t="str">
        <f>F!A4</f>
        <v>F1</v>
      </c>
      <c r="B43" s="2042" t="str">
        <f>F!B4</f>
        <v>Wetland Type</v>
      </c>
      <c r="C43" s="470" t="str">
        <f>F!C4</f>
        <v>Follow the key below and mark the ONE row that best describes MOST of the vegetated part of the AA:</v>
      </c>
      <c r="D43" s="512"/>
      <c r="E43" s="290"/>
      <c r="F43" s="209"/>
      <c r="G43" s="291">
        <f>MAX(F44:F49)/MAX(E44:E49)</f>
        <v>0</v>
      </c>
      <c r="H43" s="1669" t="s">
        <v>2284</v>
      </c>
      <c r="I43" s="1669" t="s">
        <v>214</v>
      </c>
    </row>
    <row r="44" spans="1:9" s="25" customFormat="1" ht="57" customHeight="1" thickBot="1" x14ac:dyDescent="0.25">
      <c r="A44" s="2043"/>
      <c r="B44" s="2043"/>
      <c r="C44" s="470" t="str">
        <f>F!C5</f>
        <v>A. Moss and/or lichen cover more than 25%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v>
      </c>
      <c r="D44" s="672"/>
      <c r="E44" s="211"/>
      <c r="F44" s="211"/>
      <c r="G44" s="208"/>
      <c r="H44" s="1670"/>
      <c r="I44" s="1670"/>
    </row>
    <row r="45" spans="1:9" s="25" customFormat="1" ht="78.75" customHeight="1" x14ac:dyDescent="0.2">
      <c r="A45" s="2043"/>
      <c r="B45" s="2043"/>
      <c r="C45" s="471" t="str">
        <f>F!C6</f>
        <v>A1.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(Carex rariflora). Wetland surface and surrounding landscape are seldom sloping and wetland often is domed (convex). Inlet and outlet channels are usually absent.  If known, pH of peat is &lt;4.0.</v>
      </c>
      <c r="D45" s="175">
        <f>F!D6</f>
        <v>0</v>
      </c>
      <c r="E45" s="217">
        <v>0</v>
      </c>
      <c r="F45" s="211">
        <f>D45*E45</f>
        <v>0</v>
      </c>
      <c r="G45" s="208"/>
      <c r="H45" s="1670"/>
      <c r="I45" s="1670"/>
    </row>
    <row r="46" spans="1:9" s="25" customFormat="1" ht="57" customHeight="1" thickBot="1" x14ac:dyDescent="0.25">
      <c r="A46" s="2043"/>
      <c r="B46" s="2043"/>
      <c r="C46" s="475" t="str">
        <f>F!C7</f>
        <v>A2.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v>
      </c>
      <c r="D46" s="175">
        <f>F!D7</f>
        <v>0</v>
      </c>
      <c r="E46" s="217">
        <v>2</v>
      </c>
      <c r="F46" s="211">
        <f>D46*E46</f>
        <v>0</v>
      </c>
      <c r="G46" s="208"/>
      <c r="H46" s="1670"/>
      <c r="I46" s="1670"/>
    </row>
    <row r="47" spans="1:9" s="25" customFormat="1" ht="41.25" customHeight="1" thickBot="1" x14ac:dyDescent="0.25">
      <c r="A47" s="2043"/>
      <c r="B47" s="2043"/>
      <c r="C47" s="470" t="str">
        <f>F!C8</f>
        <v>B. Moss and/or lichen cover less than 25% of the ground. Soil is mineral or decomposed organic (muck). Choose between B1 and B2 and mark the choice with a 1 in their adjoining column:</v>
      </c>
      <c r="D47" s="672"/>
      <c r="E47" s="217"/>
      <c r="F47" s="211"/>
      <c r="G47" s="208"/>
      <c r="H47" s="1670"/>
      <c r="I47" s="1670"/>
    </row>
    <row r="48" spans="1:9" s="25" customFormat="1" ht="39.75" customHeight="1" x14ac:dyDescent="0.2">
      <c r="A48" s="2043"/>
      <c r="B48" s="2043"/>
      <c r="C48" s="471" t="str">
        <f>F!C9</f>
        <v>B1. Trees and shrubs taller than 1 m comprise more than 25% of the vegetated cover. Surface water is mostly absent or inundates the vegetation only seasonally (e.g., vernal pools or floodplain).</v>
      </c>
      <c r="D48" s="175">
        <f>F!D9</f>
        <v>0</v>
      </c>
      <c r="E48" s="217">
        <v>0</v>
      </c>
      <c r="F48" s="211">
        <f>D48*E48</f>
        <v>0</v>
      </c>
      <c r="G48" s="208"/>
      <c r="H48" s="1670"/>
      <c r="I48" s="1670"/>
    </row>
    <row r="49" spans="1:9" s="25" customFormat="1" ht="42" customHeight="1" thickBot="1" x14ac:dyDescent="0.25">
      <c r="A49" s="2044"/>
      <c r="B49" s="2044"/>
      <c r="C49" s="473" t="str">
        <f>F!C10</f>
        <v>B2. Not B1.  Tree &amp; tall shrubs comprise less than than 25% of the vegetated cover.  Vegetation is mostly herbaceous, e.g., cattail, bulrush, burreed, pond lily, horsetail. Surface water may be extensive and fluctuates seasonally, being either persistent or drying up partly or entirely.</v>
      </c>
      <c r="D49" s="176">
        <f>F!D10</f>
        <v>0</v>
      </c>
      <c r="E49" s="454">
        <v>3</v>
      </c>
      <c r="F49" s="215">
        <f>D49*E49</f>
        <v>0</v>
      </c>
      <c r="G49" s="1094"/>
      <c r="H49" s="1671"/>
      <c r="I49" s="1671"/>
    </row>
    <row r="50" spans="1:9" ht="45" customHeight="1" thickBot="1" x14ac:dyDescent="0.25">
      <c r="A50" s="2045" t="str">
        <f>F!A28</f>
        <v>F5</v>
      </c>
      <c r="B50" s="2048" t="str">
        <f>F!B28</f>
        <v>Woody Diameter Classes</v>
      </c>
      <c r="C50" s="474" t="str">
        <f>F!C28</f>
        <v>Mark ALL the types that comprise &gt;5% of the woody canopy cover in the AA or &gt;5% of the wooded areas (if any) along its upland edge (perimeter).  The edge should include only the trees whose canopies extend into the AA.</v>
      </c>
      <c r="D50" s="496"/>
      <c r="E50" s="217"/>
      <c r="F50" s="501"/>
      <c r="G50" s="497" t="str">
        <f>IF((MAX(F!D18:D21)&lt;2),"",  (MAX(F51:F58)/MAX(E51:E58)))</f>
        <v/>
      </c>
      <c r="H50" s="1670" t="s">
        <v>1215</v>
      </c>
      <c r="I50" s="1865" t="s">
        <v>224</v>
      </c>
    </row>
    <row r="51" spans="1:9" ht="15" customHeight="1" x14ac:dyDescent="0.2">
      <c r="A51" s="2046"/>
      <c r="B51" s="2048"/>
      <c r="C51" s="471" t="str">
        <f>F!C29</f>
        <v>coniferous, 1-9 cm diameter and &gt;1 m tall.</v>
      </c>
      <c r="D51" s="174">
        <f>F!D29</f>
        <v>0</v>
      </c>
      <c r="E51" s="211">
        <v>0</v>
      </c>
      <c r="F51" s="40">
        <f t="shared" ref="F51:F58" si="3">D51*E51</f>
        <v>0</v>
      </c>
      <c r="G51" s="493"/>
      <c r="H51" s="1670"/>
      <c r="I51" s="1866"/>
    </row>
    <row r="52" spans="1:9" ht="15" customHeight="1" x14ac:dyDescent="0.2">
      <c r="A52" s="2046"/>
      <c r="B52" s="2048"/>
      <c r="C52" s="472" t="str">
        <f>F!C30</f>
        <v>broad-leaved deciduous 1-9 cm diameter and &gt;1 m tall.</v>
      </c>
      <c r="D52" s="175">
        <f>F!D30</f>
        <v>0</v>
      </c>
      <c r="E52" s="211">
        <v>0</v>
      </c>
      <c r="F52" s="40">
        <f t="shared" si="3"/>
        <v>0</v>
      </c>
      <c r="G52" s="494"/>
      <c r="H52" s="1670"/>
      <c r="I52" s="1866"/>
    </row>
    <row r="53" spans="1:9" ht="15" customHeight="1" x14ac:dyDescent="0.2">
      <c r="A53" s="2046"/>
      <c r="B53" s="2048"/>
      <c r="C53" s="472" t="str">
        <f>F!C31</f>
        <v>coniferous, 10-19 cm diameter.</v>
      </c>
      <c r="D53" s="175">
        <f>F!D31</f>
        <v>0</v>
      </c>
      <c r="E53" s="211">
        <v>0</v>
      </c>
      <c r="F53" s="40">
        <f t="shared" si="3"/>
        <v>0</v>
      </c>
      <c r="G53" s="494"/>
      <c r="H53" s="1670"/>
      <c r="I53" s="1866"/>
    </row>
    <row r="54" spans="1:9" ht="15" customHeight="1" x14ac:dyDescent="0.2">
      <c r="A54" s="2046"/>
      <c r="B54" s="2048"/>
      <c r="C54" s="472" t="str">
        <f>F!C32</f>
        <v>broad-leaved deciduous 10-19 cm diameter.</v>
      </c>
      <c r="D54" s="175">
        <f>F!D32</f>
        <v>0</v>
      </c>
      <c r="E54" s="211">
        <v>0</v>
      </c>
      <c r="F54" s="40">
        <f t="shared" si="3"/>
        <v>0</v>
      </c>
      <c r="G54" s="494"/>
      <c r="H54" s="1670"/>
      <c r="I54" s="1866"/>
    </row>
    <row r="55" spans="1:9" ht="15" customHeight="1" x14ac:dyDescent="0.2">
      <c r="A55" s="2046"/>
      <c r="B55" s="2048"/>
      <c r="C55" s="472" t="str">
        <f>F!C33</f>
        <v>coniferous, 20-40 cm diameter.</v>
      </c>
      <c r="D55" s="175">
        <f>F!D33</f>
        <v>0</v>
      </c>
      <c r="E55" s="211">
        <v>2</v>
      </c>
      <c r="F55" s="40">
        <f t="shared" si="3"/>
        <v>0</v>
      </c>
      <c r="G55" s="494"/>
      <c r="H55" s="1670"/>
      <c r="I55" s="1866"/>
    </row>
    <row r="56" spans="1:9" ht="15" customHeight="1" x14ac:dyDescent="0.2">
      <c r="A56" s="2046"/>
      <c r="B56" s="2048"/>
      <c r="C56" s="472" t="str">
        <f>F!C34</f>
        <v>broad-leaved deciduous 20-40 cm diameter.</v>
      </c>
      <c r="D56" s="175">
        <f>F!D34</f>
        <v>0</v>
      </c>
      <c r="E56" s="211">
        <v>2</v>
      </c>
      <c r="F56" s="40">
        <f t="shared" si="3"/>
        <v>0</v>
      </c>
      <c r="G56" s="494"/>
      <c r="H56" s="1670"/>
      <c r="I56" s="1866"/>
    </row>
    <row r="57" spans="1:9" ht="15" customHeight="1" x14ac:dyDescent="0.2">
      <c r="A57" s="2046"/>
      <c r="B57" s="2048"/>
      <c r="C57" s="472" t="str">
        <f>F!C35</f>
        <v>coniferous, &gt;40 cm diameter.</v>
      </c>
      <c r="D57" s="175">
        <f>F!D35</f>
        <v>0</v>
      </c>
      <c r="E57" s="211">
        <v>3</v>
      </c>
      <c r="F57" s="40">
        <f t="shared" si="3"/>
        <v>0</v>
      </c>
      <c r="G57" s="494"/>
      <c r="H57" s="1670"/>
      <c r="I57" s="1866"/>
    </row>
    <row r="58" spans="1:9" ht="15" customHeight="1" thickBot="1" x14ac:dyDescent="0.25">
      <c r="A58" s="2047"/>
      <c r="B58" s="2049"/>
      <c r="C58" s="473" t="str">
        <f>F!C36</f>
        <v>broad-leaved deciduous &gt;40 cm diameter.</v>
      </c>
      <c r="D58" s="176">
        <f>F!D36</f>
        <v>0</v>
      </c>
      <c r="E58" s="215">
        <v>3</v>
      </c>
      <c r="F58" s="102">
        <f t="shared" si="3"/>
        <v>0</v>
      </c>
      <c r="G58" s="495"/>
      <c r="H58" s="1671"/>
      <c r="I58" s="1867"/>
    </row>
    <row r="59" spans="1:9" ht="30" customHeight="1" thickBot="1" x14ac:dyDescent="0.25">
      <c r="A59" s="2051" t="str">
        <f>F!A44</f>
        <v>F7</v>
      </c>
      <c r="B59" s="2042" t="str">
        <f>F!B44</f>
        <v>Large Snags (Dead Standing Trees)</v>
      </c>
      <c r="C59" s="470" t="str">
        <f>F!C44</f>
        <v>The number of large snags (diameter &gt;20 cm) in the AA plus adjacent upland area within 10 m of the wetland edge is:</v>
      </c>
      <c r="D59" s="126"/>
      <c r="E59" s="290"/>
      <c r="F59" s="100"/>
      <c r="G59" s="492" t="str">
        <f>IF((MAX(F!D18:D21)&lt;3),"", MAX(F60:F62)/MAX(E60:E62))</f>
        <v/>
      </c>
      <c r="H59" s="1669" t="s">
        <v>1416</v>
      </c>
      <c r="I59" s="1865" t="s">
        <v>223</v>
      </c>
    </row>
    <row r="60" spans="1:9" ht="15" customHeight="1" x14ac:dyDescent="0.2">
      <c r="A60" s="2050"/>
      <c r="B60" s="2043"/>
      <c r="C60" s="471" t="str">
        <f>F!C45</f>
        <v>None, or fewer than 8/ hectare which exceed this diameter.</v>
      </c>
      <c r="D60" s="174">
        <f>F!D45</f>
        <v>0</v>
      </c>
      <c r="E60" s="211">
        <v>0</v>
      </c>
      <c r="F60" s="40">
        <f>D60*E60</f>
        <v>0</v>
      </c>
      <c r="G60" s="493"/>
      <c r="H60" s="1670"/>
      <c r="I60" s="1866"/>
    </row>
    <row r="61" spans="1:9" ht="15" customHeight="1" x14ac:dyDescent="0.2">
      <c r="A61" s="2050"/>
      <c r="B61" s="2043"/>
      <c r="C61" s="472" t="str">
        <f>F!C46</f>
        <v>Several ( &gt;8/hectare) and a pond, lake, or slow-flowing water wider than 10 m is within 1 km.</v>
      </c>
      <c r="D61" s="175">
        <f>F!D46</f>
        <v>0</v>
      </c>
      <c r="E61" s="211">
        <v>3</v>
      </c>
      <c r="F61" s="40">
        <f>D61*E61</f>
        <v>0</v>
      </c>
      <c r="G61" s="493"/>
      <c r="H61" s="1670"/>
      <c r="I61" s="1866"/>
    </row>
    <row r="62" spans="1:9" ht="15.6" customHeight="1" thickBot="1" x14ac:dyDescent="0.25">
      <c r="A62" s="2053"/>
      <c r="B62" s="2044"/>
      <c r="C62" s="473" t="str">
        <f>F!C47</f>
        <v>Several ( &gt;8/hectare) but above not true.</v>
      </c>
      <c r="D62" s="176">
        <f>F!D47</f>
        <v>0</v>
      </c>
      <c r="E62" s="215">
        <v>2</v>
      </c>
      <c r="F62" s="98">
        <f>D62*E62</f>
        <v>0</v>
      </c>
      <c r="G62" s="495"/>
      <c r="H62" s="1671"/>
      <c r="I62" s="1867"/>
    </row>
    <row r="63" spans="1:9" ht="30" customHeight="1" thickBot="1" x14ac:dyDescent="0.25">
      <c r="A63" s="2056" t="str">
        <f>F!A88</f>
        <v>F16</v>
      </c>
      <c r="B63" s="2048" t="str">
        <f>F!B88</f>
        <v>Herbaceous % of Vegetated Wetland</v>
      </c>
      <c r="C63" s="474" t="str">
        <f>F!C88</f>
        <v>In aerial ("ducks eye") view, the maximum annual cover of herbaceous vegetation (all non-woody plants except moss) is:</v>
      </c>
      <c r="D63" s="126"/>
      <c r="E63" s="186"/>
      <c r="F63" s="501"/>
      <c r="G63" s="497">
        <f>MAX(F64:F68)/MAX(E64:E68)</f>
        <v>0</v>
      </c>
      <c r="H63" s="1670" t="s">
        <v>1472</v>
      </c>
      <c r="I63" s="1865" t="s">
        <v>222</v>
      </c>
    </row>
    <row r="64" spans="1:9" ht="27" customHeight="1" x14ac:dyDescent="0.2">
      <c r="A64" s="2056"/>
      <c r="B64" s="2048"/>
      <c r="C64" s="471" t="str">
        <f>F!C89</f>
        <v>&lt;5% of the vegetated part of the AA or &lt;0.01 hectare (whichever is less). Mark "1" here and SKIP to F20 (Invasive Plant Cover).</v>
      </c>
      <c r="D64" s="174">
        <f>F!D89</f>
        <v>0</v>
      </c>
      <c r="E64" s="187">
        <v>0</v>
      </c>
      <c r="F64" s="40">
        <f>D64*E64</f>
        <v>0</v>
      </c>
      <c r="G64" s="493"/>
      <c r="H64" s="1670"/>
      <c r="I64" s="1866"/>
    </row>
    <row r="65" spans="1:76" ht="15" customHeight="1" x14ac:dyDescent="0.2">
      <c r="A65" s="2056"/>
      <c r="B65" s="2048"/>
      <c r="C65" s="472" t="str">
        <f>F!C90</f>
        <v>5-25% of the vegetated part of the AA.</v>
      </c>
      <c r="D65" s="175">
        <f>F!D90</f>
        <v>0</v>
      </c>
      <c r="E65" s="187">
        <v>2</v>
      </c>
      <c r="F65" s="40">
        <f>D65*E65</f>
        <v>0</v>
      </c>
      <c r="G65" s="494"/>
      <c r="H65" s="1670"/>
      <c r="I65" s="1866"/>
    </row>
    <row r="66" spans="1:76" ht="15" customHeight="1" x14ac:dyDescent="0.2">
      <c r="A66" s="2056"/>
      <c r="B66" s="2048"/>
      <c r="C66" s="472" t="str">
        <f>F!C91</f>
        <v>25-50% of the vegetated part of the AA.</v>
      </c>
      <c r="D66" s="175">
        <f>F!D91</f>
        <v>0</v>
      </c>
      <c r="E66" s="187">
        <v>3</v>
      </c>
      <c r="F66" s="40">
        <f>D66*E66</f>
        <v>0</v>
      </c>
      <c r="G66" s="494"/>
      <c r="H66" s="1670"/>
      <c r="I66" s="1866"/>
    </row>
    <row r="67" spans="1:76" ht="15" customHeight="1" x14ac:dyDescent="0.2">
      <c r="A67" s="2056"/>
      <c r="B67" s="2048"/>
      <c r="C67" s="472" t="str">
        <f>F!C92</f>
        <v>50-95% of the vegetated part of the AA.</v>
      </c>
      <c r="D67" s="175">
        <f>F!D92</f>
        <v>0</v>
      </c>
      <c r="E67" s="187">
        <v>4</v>
      </c>
      <c r="F67" s="40">
        <f>D67*E67</f>
        <v>0</v>
      </c>
      <c r="G67" s="494"/>
      <c r="H67" s="1670"/>
      <c r="I67" s="1866"/>
    </row>
    <row r="68" spans="1:76" ht="15" customHeight="1" thickBot="1" x14ac:dyDescent="0.25">
      <c r="A68" s="2056"/>
      <c r="B68" s="2048"/>
      <c r="C68" s="475" t="str">
        <f>F!C93</f>
        <v>&gt;95% of the vegetated part of the AA.</v>
      </c>
      <c r="D68" s="177">
        <f>F!D93</f>
        <v>0</v>
      </c>
      <c r="E68" s="190">
        <v>5</v>
      </c>
      <c r="F68" s="498">
        <f>D68*E68</f>
        <v>0</v>
      </c>
      <c r="G68" s="499"/>
      <c r="H68" s="1670"/>
      <c r="I68" s="1867"/>
    </row>
    <row r="69" spans="1:76" s="25" customFormat="1" ht="45" customHeight="1" thickBot="1" x14ac:dyDescent="0.25">
      <c r="A69" s="469" t="str">
        <f>F!A119</f>
        <v>F22</v>
      </c>
      <c r="B69" s="91" t="str">
        <f>F!B119</f>
        <v>Fringe Wetland</v>
      </c>
      <c r="C69" s="489" t="str">
        <f>F!C119</f>
        <v>During most of the year, open water within or adjacent to the vegetated part of the wetland is much wider than the maximum width of the vegetated zone within the wetland. Enter "1" if true, "0" if false.</v>
      </c>
      <c r="D69" s="180">
        <f>F!D119</f>
        <v>0</v>
      </c>
      <c r="E69" s="700"/>
      <c r="F69" s="586"/>
      <c r="G69" s="564">
        <f>IF((AllSat1&gt;0),"",IF((NoPersis=1),"", D69))</f>
        <v>0</v>
      </c>
      <c r="H69" s="36" t="s">
        <v>1862</v>
      </c>
      <c r="I69" s="3" t="s">
        <v>215</v>
      </c>
    </row>
    <row r="70" spans="1:76" s="26" customFormat="1" ht="114" customHeight="1" thickBot="1" x14ac:dyDescent="0.25">
      <c r="A70" s="620" t="str">
        <f>F!A120</f>
        <v>F23</v>
      </c>
      <c r="B70" s="619" t="str">
        <f>F!B120</f>
        <v>Lacustrine Wetland</v>
      </c>
      <c r="C70" s="490" t="str">
        <f>F!C120</f>
        <v>The vegetated part of the AA is within or adjacent to a body of non-tidal standing open water whose size exceeds 8 hectares during most of a normal year.</v>
      </c>
      <c r="D70" s="491">
        <f>F!D120</f>
        <v>0</v>
      </c>
      <c r="E70" s="446"/>
      <c r="F70" s="627"/>
      <c r="G70" s="497" t="str">
        <f>IF((D70=1),1,"")</f>
        <v/>
      </c>
      <c r="H70" s="624" t="s">
        <v>1863</v>
      </c>
      <c r="I70" s="3" t="s">
        <v>1675</v>
      </c>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row>
    <row r="71" spans="1:76" s="25" customFormat="1" ht="30" customHeight="1" thickBot="1" x14ac:dyDescent="0.25">
      <c r="A71" s="2051" t="str">
        <f>F!A121</f>
        <v>F24</v>
      </c>
      <c r="B71" s="2042" t="str">
        <f>F!B121</f>
        <v>% of AA Without Surface Water</v>
      </c>
      <c r="C71" s="470" t="str">
        <f>F!C121</f>
        <v>The percentage of the AA that never contains surface water during an average year (that is, except perhaps for a few hours after snowmelt or rainstorms), but which is still a wetland, is:</v>
      </c>
      <c r="D71" s="126"/>
      <c r="E71" s="202"/>
      <c r="F71" s="126"/>
      <c r="G71" s="511">
        <f>MAX(F72:F77)/MAX(E72:E77)</f>
        <v>0</v>
      </c>
      <c r="H71" s="1669" t="s">
        <v>909</v>
      </c>
      <c r="I71" s="1669" t="s">
        <v>660</v>
      </c>
    </row>
    <row r="72" spans="1:76" s="25" customFormat="1" ht="15" customHeight="1" x14ac:dyDescent="0.2">
      <c r="A72" s="2050"/>
      <c r="B72" s="2043"/>
      <c r="C72" s="486" t="str">
        <f>F!C122</f>
        <v xml:space="preserve">&lt;1% . In other words, all or nearly all of the AA is covered by water permanently or at least seasonally.  </v>
      </c>
      <c r="D72" s="179">
        <f>F!D122</f>
        <v>0</v>
      </c>
      <c r="E72" s="187">
        <v>4</v>
      </c>
      <c r="F72" s="40">
        <f t="shared" ref="F72:F77" si="4">D72*E72</f>
        <v>0</v>
      </c>
      <c r="G72" s="510"/>
      <c r="H72" s="1670"/>
      <c r="I72" s="1670"/>
    </row>
    <row r="73" spans="1:76" s="25" customFormat="1" ht="15" customHeight="1" x14ac:dyDescent="0.2">
      <c r="A73" s="2050"/>
      <c r="B73" s="2043"/>
      <c r="C73" s="486" t="str">
        <f>F!C123</f>
        <v>1-25% of the AA,  or &lt;1% but &gt;0.01 ha never contains surface water.</v>
      </c>
      <c r="D73" s="179">
        <f>F!D123</f>
        <v>0</v>
      </c>
      <c r="E73" s="187">
        <v>5</v>
      </c>
      <c r="F73" s="40">
        <f t="shared" si="4"/>
        <v>0</v>
      </c>
      <c r="G73" s="510"/>
      <c r="H73" s="1670"/>
      <c r="I73" s="1670"/>
    </row>
    <row r="74" spans="1:76" s="25" customFormat="1" ht="15" customHeight="1" x14ac:dyDescent="0.2">
      <c r="A74" s="2050"/>
      <c r="B74" s="2043"/>
      <c r="C74" s="486" t="str">
        <f>F!C124</f>
        <v>25-50% of the AA never contains surface water.</v>
      </c>
      <c r="D74" s="179">
        <f>F!D124</f>
        <v>0</v>
      </c>
      <c r="E74" s="187">
        <v>3</v>
      </c>
      <c r="F74" s="40">
        <f t="shared" si="4"/>
        <v>0</v>
      </c>
      <c r="G74" s="510"/>
      <c r="H74" s="1670"/>
      <c r="I74" s="1670"/>
    </row>
    <row r="75" spans="1:76" s="25" customFormat="1" ht="15" customHeight="1" x14ac:dyDescent="0.2">
      <c r="A75" s="2050"/>
      <c r="B75" s="2043"/>
      <c r="C75" s="486" t="str">
        <f>F!C125</f>
        <v>50-75% of the AA never contains surface water.</v>
      </c>
      <c r="D75" s="179">
        <f>F!D125</f>
        <v>0</v>
      </c>
      <c r="E75" s="187">
        <v>2</v>
      </c>
      <c r="F75" s="40">
        <f t="shared" si="4"/>
        <v>0</v>
      </c>
      <c r="G75" s="510"/>
      <c r="H75" s="1670"/>
      <c r="I75" s="1670"/>
    </row>
    <row r="76" spans="1:76" s="25" customFormat="1" ht="27" customHeight="1" x14ac:dyDescent="0.2">
      <c r="A76" s="2050"/>
      <c r="B76" s="2043"/>
      <c r="C76" s="486" t="str">
        <f>F!C126</f>
        <v>75-99% of the AA never contains surface water, OR &gt;99% and there is at least one persistently ponded water body larger than 1 ha in the AA.</v>
      </c>
      <c r="D76" s="179">
        <f>F!D126</f>
        <v>0</v>
      </c>
      <c r="E76" s="187">
        <v>1</v>
      </c>
      <c r="F76" s="40">
        <f t="shared" si="4"/>
        <v>0</v>
      </c>
      <c r="G76" s="510"/>
      <c r="H76" s="1670"/>
      <c r="I76" s="1670"/>
    </row>
    <row r="77" spans="1:76" s="25" customFormat="1" ht="27" customHeight="1" thickBot="1" x14ac:dyDescent="0.25">
      <c r="A77" s="2050"/>
      <c r="B77" s="2043"/>
      <c r="C77" s="966" t="str">
        <f>F!C127</f>
        <v>99-100%. AND there is no persistently ponded water body larger than 1 ha within the AA. Enter "1" and SKIP to F42 (Channel Connection).</v>
      </c>
      <c r="D77" s="967">
        <f>F!D127</f>
        <v>0</v>
      </c>
      <c r="E77" s="190">
        <v>0</v>
      </c>
      <c r="F77" s="498">
        <f t="shared" si="4"/>
        <v>0</v>
      </c>
      <c r="G77" s="510"/>
      <c r="H77" s="1670"/>
      <c r="I77" s="1671"/>
    </row>
    <row r="78" spans="1:76" s="25" customFormat="1" ht="53.25" customHeight="1" thickBot="1" x14ac:dyDescent="0.25">
      <c r="A78" s="2051" t="str">
        <f>F!A128</f>
        <v>F25</v>
      </c>
      <c r="B78" s="2042" t="str">
        <f>F!B128</f>
        <v>% of AA with Persistent Surface Water</v>
      </c>
      <c r="C78" s="470" t="str">
        <f>F!C128</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78" s="126"/>
      <c r="E78" s="191"/>
      <c r="F78" s="100"/>
      <c r="G78" s="511">
        <f>IF((AllSat1&gt;0),"", MAX(F79:F83)/MAX(E79:E83))</f>
        <v>0</v>
      </c>
      <c r="H78" s="1669" t="s">
        <v>1289</v>
      </c>
      <c r="I78" s="1669" t="s">
        <v>217</v>
      </c>
    </row>
    <row r="79" spans="1:76" s="25" customFormat="1" ht="27" customHeight="1" x14ac:dyDescent="0.2">
      <c r="A79" s="2050"/>
      <c r="B79" s="2043"/>
      <c r="C79" s="487" t="str">
        <f>F!C129</f>
        <v>None. The AA dries up completely (no water in channels either) or never has surface water during most years.  SKIP to F27.</v>
      </c>
      <c r="D79" s="177">
        <f>F!D129</f>
        <v>0</v>
      </c>
      <c r="E79" s="186">
        <v>1</v>
      </c>
      <c r="F79" s="40">
        <f>D79*E79</f>
        <v>0</v>
      </c>
      <c r="G79" s="494"/>
      <c r="H79" s="1670"/>
      <c r="I79" s="1670"/>
    </row>
    <row r="80" spans="1:76" s="25" customFormat="1" ht="15" customHeight="1" x14ac:dyDescent="0.2">
      <c r="A80" s="2050"/>
      <c r="B80" s="2043"/>
      <c r="C80" s="487" t="str">
        <f>F!C130</f>
        <v>1-20% of the AA.</v>
      </c>
      <c r="D80" s="177">
        <f>F!D130</f>
        <v>0</v>
      </c>
      <c r="E80" s="186">
        <v>2</v>
      </c>
      <c r="F80" s="40">
        <f>D80*E80</f>
        <v>0</v>
      </c>
      <c r="G80" s="494"/>
      <c r="H80" s="1670"/>
      <c r="I80" s="1670"/>
    </row>
    <row r="81" spans="1:9" ht="15" customHeight="1" x14ac:dyDescent="0.2">
      <c r="A81" s="2050"/>
      <c r="B81" s="2043"/>
      <c r="C81" s="487" t="str">
        <f>F!C131</f>
        <v>20-50% of the AA.</v>
      </c>
      <c r="D81" s="177">
        <f>F!D131</f>
        <v>0</v>
      </c>
      <c r="E81" s="187">
        <v>3</v>
      </c>
      <c r="F81" s="40">
        <f>D81*E81</f>
        <v>0</v>
      </c>
      <c r="G81" s="494"/>
      <c r="H81" s="1670"/>
      <c r="I81" s="1670"/>
    </row>
    <row r="82" spans="1:9" ht="15" customHeight="1" x14ac:dyDescent="0.2">
      <c r="A82" s="2050"/>
      <c r="B82" s="2043"/>
      <c r="C82" s="487" t="str">
        <f>F!C132</f>
        <v>50-95% of the AA.</v>
      </c>
      <c r="D82" s="177">
        <f>F!D132</f>
        <v>0</v>
      </c>
      <c r="E82" s="187">
        <v>4</v>
      </c>
      <c r="F82" s="40">
        <f>D82*E82</f>
        <v>0</v>
      </c>
      <c r="G82" s="494"/>
      <c r="H82" s="1670"/>
      <c r="I82" s="1670"/>
    </row>
    <row r="83" spans="1:9" ht="15" customHeight="1" thickBot="1" x14ac:dyDescent="0.25">
      <c r="A83" s="2053"/>
      <c r="B83" s="2044"/>
      <c r="C83" s="488" t="str">
        <f>F!C133</f>
        <v>&gt;95% of the AA. True for many fringe wetlands.</v>
      </c>
      <c r="D83" s="176">
        <f>F!D133</f>
        <v>0</v>
      </c>
      <c r="E83" s="188">
        <v>3</v>
      </c>
      <c r="F83" s="98">
        <f>D83*E83</f>
        <v>0</v>
      </c>
      <c r="G83" s="495"/>
      <c r="H83" s="1671"/>
      <c r="I83" s="1671"/>
    </row>
    <row r="84" spans="1:9" ht="30" customHeight="1" thickBot="1" x14ac:dyDescent="0.25">
      <c r="A84" s="2064" t="str">
        <f>F!A140</f>
        <v>F27</v>
      </c>
      <c r="B84" s="2058" t="str">
        <f>F!B140</f>
        <v>% of AA that is Flooded Only Seasonally</v>
      </c>
      <c r="C84" s="479" t="str">
        <f>F!C140</f>
        <v>The percentage of the AA's area that is between the annual high water and the annual low water (surface water) is:</v>
      </c>
      <c r="D84" s="126"/>
      <c r="E84" s="191"/>
      <c r="F84" s="100"/>
      <c r="G84" s="492">
        <f>IF((AllSat1&gt;0),"",MAX(F85:F89)/MAX(E85:E89))</f>
        <v>0</v>
      </c>
      <c r="H84" s="1669" t="s">
        <v>1208</v>
      </c>
      <c r="I84" s="1865" t="s">
        <v>235</v>
      </c>
    </row>
    <row r="85" spans="1:9" ht="15" customHeight="1" x14ac:dyDescent="0.2">
      <c r="A85" s="2065"/>
      <c r="B85" s="2059"/>
      <c r="C85" s="480" t="str">
        <f>F!C141</f>
        <v>None, or &lt;0.01 hectare and &lt;1% of the AA.  SKIP to F29.</v>
      </c>
      <c r="D85" s="174">
        <f>F!D141</f>
        <v>0</v>
      </c>
      <c r="E85" s="187">
        <v>4</v>
      </c>
      <c r="F85" s="40">
        <f>D85*E85</f>
        <v>0</v>
      </c>
      <c r="G85" s="493"/>
      <c r="H85" s="1670"/>
      <c r="I85" s="1866"/>
    </row>
    <row r="86" spans="1:9" ht="15" customHeight="1" x14ac:dyDescent="0.2">
      <c r="A86" s="2065"/>
      <c r="B86" s="2059"/>
      <c r="C86" s="481" t="str">
        <f>F!C142</f>
        <v>1-20% of the AA, or &lt;1% but &gt;0.01 ha.</v>
      </c>
      <c r="D86" s="175">
        <f>F!D142</f>
        <v>0</v>
      </c>
      <c r="E86" s="187">
        <v>5</v>
      </c>
      <c r="F86" s="40">
        <f>D86*E86</f>
        <v>0</v>
      </c>
      <c r="G86" s="494"/>
      <c r="H86" s="1670"/>
      <c r="I86" s="1866"/>
    </row>
    <row r="87" spans="1:9" ht="15" customHeight="1" x14ac:dyDescent="0.2">
      <c r="A87" s="2065"/>
      <c r="B87" s="2059"/>
      <c r="C87" s="481" t="str">
        <f>F!C143</f>
        <v>20-50% of the AA.</v>
      </c>
      <c r="D87" s="175">
        <f>F!D143</f>
        <v>0</v>
      </c>
      <c r="E87" s="187">
        <v>3</v>
      </c>
      <c r="F87" s="40">
        <f>D87*E87</f>
        <v>0</v>
      </c>
      <c r="G87" s="494"/>
      <c r="H87" s="1670"/>
      <c r="I87" s="1866"/>
    </row>
    <row r="88" spans="1:9" ht="15" customHeight="1" x14ac:dyDescent="0.2">
      <c r="A88" s="2065"/>
      <c r="B88" s="2059"/>
      <c r="C88" s="481" t="str">
        <f>F!C144</f>
        <v>50-95% of the AA.</v>
      </c>
      <c r="D88" s="175">
        <f>F!D144</f>
        <v>0</v>
      </c>
      <c r="E88" s="187">
        <v>2</v>
      </c>
      <c r="F88" s="40">
        <f>D88*E88</f>
        <v>0</v>
      </c>
      <c r="G88" s="494"/>
      <c r="H88" s="1670"/>
      <c r="I88" s="1866"/>
    </row>
    <row r="89" spans="1:9" ht="15" customHeight="1" thickBot="1" x14ac:dyDescent="0.25">
      <c r="A89" s="2066"/>
      <c r="B89" s="2060"/>
      <c r="C89" s="488" t="str">
        <f>F!C145</f>
        <v xml:space="preserve">&gt;95% of the AA. </v>
      </c>
      <c r="D89" s="176">
        <f>F!D145</f>
        <v>0</v>
      </c>
      <c r="E89" s="204">
        <v>1</v>
      </c>
      <c r="F89" s="98">
        <f>D89*E89</f>
        <v>0</v>
      </c>
      <c r="G89" s="495"/>
      <c r="H89" s="1671"/>
      <c r="I89" s="1867"/>
    </row>
    <row r="90" spans="1:9" ht="30" customHeight="1" thickBot="1" x14ac:dyDescent="0.25">
      <c r="A90" s="2057" t="str">
        <f>F!A146</f>
        <v>F28</v>
      </c>
      <c r="B90" s="2048" t="str">
        <f>F!B146</f>
        <v>Annual Water Fluctuation Range</v>
      </c>
      <c r="C90" s="474" t="str">
        <f>F!C146</f>
        <v>The annual fluctuation in surface water level within most of the parts of the AA that contain surface water at least temporarily is:</v>
      </c>
      <c r="D90" s="126"/>
      <c r="E90" s="186"/>
      <c r="F90" s="501"/>
      <c r="G90" s="497">
        <f>IF((AllSat1&gt;0),"", IF((NoSeasonal=1),"",MAX(F91:F95)/MAX(E91:E95)))</f>
        <v>0</v>
      </c>
      <c r="H90" s="1670" t="s">
        <v>1209</v>
      </c>
      <c r="I90" s="1865" t="s">
        <v>216</v>
      </c>
    </row>
    <row r="91" spans="1:9" ht="15" customHeight="1" x14ac:dyDescent="0.2">
      <c r="A91" s="2061"/>
      <c r="B91" s="2061"/>
      <c r="C91" s="471" t="str">
        <f>F!C147</f>
        <v>&lt;10 cm change (stable or nearly so).</v>
      </c>
      <c r="D91" s="174">
        <f>F!D147</f>
        <v>0</v>
      </c>
      <c r="E91" s="187">
        <v>0</v>
      </c>
      <c r="F91" s="40">
        <f>D91*E91</f>
        <v>0</v>
      </c>
      <c r="G91" s="493"/>
      <c r="H91" s="1670"/>
      <c r="I91" s="1866"/>
    </row>
    <row r="92" spans="1:9" ht="15" customHeight="1" x14ac:dyDescent="0.2">
      <c r="A92" s="2061"/>
      <c r="B92" s="2061"/>
      <c r="C92" s="472" t="str">
        <f>F!C148</f>
        <v>10 cm - 50 cm change.</v>
      </c>
      <c r="D92" s="175">
        <f>F!D148</f>
        <v>0</v>
      </c>
      <c r="E92" s="187">
        <v>3</v>
      </c>
      <c r="F92" s="40">
        <f>D92*E92</f>
        <v>0</v>
      </c>
      <c r="G92" s="494"/>
      <c r="H92" s="1670"/>
      <c r="I92" s="1866"/>
    </row>
    <row r="93" spans="1:9" ht="15" customHeight="1" x14ac:dyDescent="0.2">
      <c r="A93" s="2061"/>
      <c r="B93" s="2061"/>
      <c r="C93" s="472" t="str">
        <f>F!C149</f>
        <v>0.5 - 1 m change.</v>
      </c>
      <c r="D93" s="175">
        <f>F!D149</f>
        <v>0</v>
      </c>
      <c r="E93" s="187">
        <v>2</v>
      </c>
      <c r="F93" s="40">
        <f>D93*E93</f>
        <v>0</v>
      </c>
      <c r="G93" s="494"/>
      <c r="H93" s="1670"/>
      <c r="I93" s="1866"/>
    </row>
    <row r="94" spans="1:9" ht="15" customHeight="1" x14ac:dyDescent="0.2">
      <c r="A94" s="2061"/>
      <c r="B94" s="2061"/>
      <c r="C94" s="472" t="str">
        <f>F!C150</f>
        <v>1-2 m change.</v>
      </c>
      <c r="D94" s="175">
        <f>F!D150</f>
        <v>0</v>
      </c>
      <c r="E94" s="190">
        <v>1</v>
      </c>
      <c r="F94" s="498">
        <f>D94*E94</f>
        <v>0</v>
      </c>
      <c r="G94" s="499"/>
      <c r="H94" s="1670"/>
      <c r="I94" s="1866"/>
    </row>
    <row r="95" spans="1:9" ht="15" customHeight="1" thickBot="1" x14ac:dyDescent="0.25">
      <c r="A95" s="2062"/>
      <c r="B95" s="2061"/>
      <c r="C95" s="472" t="str">
        <f>F!C151</f>
        <v>&gt;2 m change.</v>
      </c>
      <c r="D95" s="175">
        <f>F!D151</f>
        <v>0</v>
      </c>
      <c r="E95" s="190">
        <v>0</v>
      </c>
      <c r="F95" s="498">
        <f>D95*E95</f>
        <v>0</v>
      </c>
      <c r="G95" s="499"/>
      <c r="H95" s="1670"/>
      <c r="I95" s="1867"/>
    </row>
    <row r="96" spans="1:9" ht="30" customHeight="1" thickBot="1" x14ac:dyDescent="0.25">
      <c r="A96" s="2045" t="str">
        <f>F!A153</f>
        <v>F29</v>
      </c>
      <c r="B96" s="2057" t="str">
        <f>F!B153</f>
        <v>Predominant Depth Class</v>
      </c>
      <c r="C96" s="470" t="str">
        <f>F!C153</f>
        <v>During most of the time when surface water is present during the growing season, its depth, averaged over the entire inundated part of the AA, is:</v>
      </c>
      <c r="D96" s="126"/>
      <c r="E96" s="191"/>
      <c r="F96" s="500"/>
      <c r="G96" s="511">
        <f>IF((AllSat1&gt;0),"",MAX(F97:F101)/MAX(E97:E101))</f>
        <v>0</v>
      </c>
      <c r="H96" s="1669" t="s">
        <v>1210</v>
      </c>
      <c r="I96" s="1865" t="s">
        <v>219</v>
      </c>
    </row>
    <row r="97" spans="1:9" ht="15" customHeight="1" x14ac:dyDescent="0.2">
      <c r="A97" s="2054"/>
      <c r="B97" s="2061"/>
      <c r="C97" s="471" t="str">
        <f>F!C154</f>
        <v>&lt;10 cm deep (but &gt;0).</v>
      </c>
      <c r="D97" s="174">
        <f>F!D154</f>
        <v>0</v>
      </c>
      <c r="E97" s="187">
        <v>1</v>
      </c>
      <c r="F97" s="40">
        <f>D97*E97</f>
        <v>0</v>
      </c>
      <c r="G97" s="493"/>
      <c r="H97" s="1670"/>
      <c r="I97" s="1866"/>
    </row>
    <row r="98" spans="1:9" ht="15" customHeight="1" x14ac:dyDescent="0.2">
      <c r="A98" s="2054"/>
      <c r="B98" s="2061"/>
      <c r="C98" s="472" t="str">
        <f>F!C155</f>
        <v>10 - 50 cm deep.</v>
      </c>
      <c r="D98" s="175">
        <f>F!D155</f>
        <v>0</v>
      </c>
      <c r="E98" s="35">
        <v>3</v>
      </c>
      <c r="F98" s="40">
        <f>D98*E98</f>
        <v>0</v>
      </c>
      <c r="G98" s="494"/>
      <c r="H98" s="1670"/>
      <c r="I98" s="1866"/>
    </row>
    <row r="99" spans="1:9" ht="15" customHeight="1" x14ac:dyDescent="0.2">
      <c r="A99" s="2054"/>
      <c r="B99" s="2061"/>
      <c r="C99" s="472" t="str">
        <f>F!C156</f>
        <v>0.5 - 1 m deep.</v>
      </c>
      <c r="D99" s="175">
        <f>F!D156</f>
        <v>0</v>
      </c>
      <c r="E99" s="35">
        <v>7</v>
      </c>
      <c r="F99" s="40">
        <f>D99*E99</f>
        <v>0</v>
      </c>
      <c r="G99" s="494"/>
      <c r="H99" s="1670"/>
      <c r="I99" s="1866"/>
    </row>
    <row r="100" spans="1:9" ht="15" customHeight="1" x14ac:dyDescent="0.2">
      <c r="A100" s="2054"/>
      <c r="B100" s="2061"/>
      <c r="C100" s="472" t="str">
        <f>F!C157</f>
        <v>1 - 2 m deep.</v>
      </c>
      <c r="D100" s="175">
        <f>F!D157</f>
        <v>0</v>
      </c>
      <c r="E100" s="35">
        <v>5</v>
      </c>
      <c r="F100" s="40">
        <f>D100*E100</f>
        <v>0</v>
      </c>
      <c r="G100" s="494"/>
      <c r="H100" s="1670"/>
      <c r="I100" s="1866"/>
    </row>
    <row r="101" spans="1:9" ht="15" customHeight="1" thickBot="1" x14ac:dyDescent="0.25">
      <c r="A101" s="2055"/>
      <c r="B101" s="2062"/>
      <c r="C101" s="473" t="str">
        <f>F!C158</f>
        <v>&gt;2 m deep. True for many fringe wetlands.</v>
      </c>
      <c r="D101" s="176">
        <f>F!D158</f>
        <v>0</v>
      </c>
      <c r="E101" s="112">
        <v>2</v>
      </c>
      <c r="F101" s="98">
        <f>D101*E101</f>
        <v>0</v>
      </c>
      <c r="G101" s="495"/>
      <c r="H101" s="1671"/>
      <c r="I101" s="1867"/>
    </row>
    <row r="102" spans="1:9" ht="21" customHeight="1" thickBot="1" x14ac:dyDescent="0.25">
      <c r="A102" s="2056" t="str">
        <f>F!A159</f>
        <v>F30</v>
      </c>
      <c r="B102" s="2048" t="str">
        <f>F!B159</f>
        <v>Depth Classes - Evenness of Proportions</v>
      </c>
      <c r="C102" s="474" t="str">
        <f>F!C159</f>
        <v>When present, surface water in most of the AA usually consists of (select one):</v>
      </c>
      <c r="D102" s="126"/>
      <c r="E102" s="186"/>
      <c r="F102" s="46"/>
      <c r="G102" s="502">
        <f>IF((AllSat1&gt;0),"",MAX(F103:F105)/MAX(E103:E105))</f>
        <v>0</v>
      </c>
      <c r="H102" s="1669" t="s">
        <v>1211</v>
      </c>
      <c r="I102" s="1669" t="s">
        <v>2865</v>
      </c>
    </row>
    <row r="103" spans="1:9" ht="15" customHeight="1" x14ac:dyDescent="0.2">
      <c r="A103" s="2063"/>
      <c r="B103" s="2061"/>
      <c r="C103" s="471" t="str">
        <f>F!C160</f>
        <v xml:space="preserve">One depth class that comprises &gt;90% of the AA’s inundated area (use the classes in the question above). </v>
      </c>
      <c r="D103" s="174">
        <f>F!D160</f>
        <v>0</v>
      </c>
      <c r="E103" s="186">
        <v>0</v>
      </c>
      <c r="F103" s="496">
        <f>D103*E103</f>
        <v>0</v>
      </c>
      <c r="G103" s="493"/>
      <c r="H103" s="1670"/>
      <c r="I103" s="1670"/>
    </row>
    <row r="104" spans="1:9" ht="15" customHeight="1" x14ac:dyDescent="0.2">
      <c r="A104" s="2063"/>
      <c r="B104" s="2061"/>
      <c r="C104" s="472" t="str">
        <f>F!C161</f>
        <v>One depth class that comprises 50-90% of the AA's inundated area.</v>
      </c>
      <c r="D104" s="175">
        <f>F!D161</f>
        <v>0</v>
      </c>
      <c r="E104" s="187">
        <v>1</v>
      </c>
      <c r="F104" s="40">
        <f>D104*E104</f>
        <v>0</v>
      </c>
      <c r="G104" s="494"/>
      <c r="H104" s="1670"/>
      <c r="I104" s="1670"/>
    </row>
    <row r="105" spans="1:9" ht="15" customHeight="1" thickBot="1" x14ac:dyDescent="0.25">
      <c r="A105" s="2063"/>
      <c r="B105" s="2061"/>
      <c r="C105" s="475" t="str">
        <f>F!C162</f>
        <v>Neither of above. There are 3 or more depth classes and none occupy &gt;50%.</v>
      </c>
      <c r="D105" s="177">
        <f>F!D162</f>
        <v>0</v>
      </c>
      <c r="E105" s="190">
        <v>2</v>
      </c>
      <c r="F105" s="498">
        <f>D105*E105</f>
        <v>0</v>
      </c>
      <c r="G105" s="499"/>
      <c r="H105" s="1670"/>
      <c r="I105" s="1671"/>
    </row>
    <row r="106" spans="1:9" ht="45" customHeight="1" thickBot="1" x14ac:dyDescent="0.25">
      <c r="A106" s="2051" t="str">
        <f>F!A163</f>
        <v>F31</v>
      </c>
      <c r="B106" s="2042" t="str">
        <f>F!B163</f>
        <v>% of Water That Is Ponded (not Flowing)</v>
      </c>
      <c r="C106" s="470" t="str">
        <f>F!C163</f>
        <v>During most times when surface water is present, the percentage that is (1) ponded (stagnant, or flows so slowly that fine sediment is not held in suspension) AND (2) is likely to be deeper than 0.5 m in some places, is:</v>
      </c>
      <c r="D106" s="126"/>
      <c r="E106" s="191"/>
      <c r="F106" s="100"/>
      <c r="G106" s="511">
        <f>IF((AllSat1&gt;0),"", MAX(F107:F111)/MAX(E107:E111))</f>
        <v>0</v>
      </c>
      <c r="H106" s="1669" t="s">
        <v>1213</v>
      </c>
      <c r="I106" s="1865" t="s">
        <v>218</v>
      </c>
    </row>
    <row r="107" spans="1:9" ht="15" customHeight="1" x14ac:dyDescent="0.2">
      <c r="A107" s="2050"/>
      <c r="B107" s="2043"/>
      <c r="C107" s="471" t="str">
        <f>F!C164</f>
        <v>&lt;5% of the water, or it occupies &lt;100 sq.m cumulatively. Nearly all the surface water is flowing. SKIP to F34.</v>
      </c>
      <c r="D107" s="688">
        <f>F!D164</f>
        <v>0</v>
      </c>
      <c r="E107" s="187">
        <v>0</v>
      </c>
      <c r="F107" s="40">
        <f>D107*E107</f>
        <v>0</v>
      </c>
      <c r="G107" s="494"/>
      <c r="H107" s="1670"/>
      <c r="I107" s="1866"/>
    </row>
    <row r="108" spans="1:9" ht="15" customHeight="1" x14ac:dyDescent="0.2">
      <c r="A108" s="2050"/>
      <c r="B108" s="2043"/>
      <c r="C108" s="472" t="str">
        <f>F!C165</f>
        <v>5-30% of the water.</v>
      </c>
      <c r="D108" s="689">
        <f>F!D165</f>
        <v>0</v>
      </c>
      <c r="E108" s="187">
        <v>3</v>
      </c>
      <c r="F108" s="40">
        <f>D108*E108</f>
        <v>0</v>
      </c>
      <c r="G108" s="494"/>
      <c r="H108" s="1670"/>
      <c r="I108" s="1866"/>
    </row>
    <row r="109" spans="1:9" ht="15" customHeight="1" x14ac:dyDescent="0.2">
      <c r="A109" s="2050"/>
      <c r="B109" s="2043"/>
      <c r="C109" s="472" t="str">
        <f>F!C166</f>
        <v>30-70% of the water.</v>
      </c>
      <c r="D109" s="689">
        <f>F!D166</f>
        <v>0</v>
      </c>
      <c r="E109" s="187">
        <v>4</v>
      </c>
      <c r="F109" s="40">
        <f>D109*E109</f>
        <v>0</v>
      </c>
      <c r="G109" s="499"/>
      <c r="H109" s="1670"/>
      <c r="I109" s="1866"/>
    </row>
    <row r="110" spans="1:9" ht="15" customHeight="1" x14ac:dyDescent="0.2">
      <c r="A110" s="2050"/>
      <c r="B110" s="2043"/>
      <c r="C110" s="472" t="str">
        <f>F!C167</f>
        <v>70-95% of the water.</v>
      </c>
      <c r="D110" s="689">
        <f>F!D167</f>
        <v>0</v>
      </c>
      <c r="E110" s="187">
        <v>5</v>
      </c>
      <c r="F110" s="40">
        <f>D110*E110</f>
        <v>0</v>
      </c>
      <c r="G110" s="499"/>
      <c r="H110" s="1670"/>
      <c r="I110" s="1866"/>
    </row>
    <row r="111" spans="1:9" ht="15" customHeight="1" thickBot="1" x14ac:dyDescent="0.25">
      <c r="A111" s="2053"/>
      <c r="B111" s="2044"/>
      <c r="C111" s="473" t="str">
        <f>F!C168</f>
        <v>&gt;95% of the water.</v>
      </c>
      <c r="D111" s="690">
        <f>F!D168</f>
        <v>0</v>
      </c>
      <c r="E111" s="188">
        <v>5</v>
      </c>
      <c r="F111" s="98">
        <f>D111*E111</f>
        <v>0</v>
      </c>
      <c r="G111" s="495"/>
      <c r="H111" s="1671"/>
      <c r="I111" s="1867"/>
    </row>
    <row r="112" spans="1:9" ht="30" customHeight="1" thickBot="1" x14ac:dyDescent="0.25">
      <c r="A112" s="2042" t="str">
        <f>F!A170</f>
        <v>F33</v>
      </c>
      <c r="B112" s="2042" t="str">
        <f>F!B170</f>
        <v xml:space="preserve">% of Ponded Water that is Open </v>
      </c>
      <c r="C112" s="91" t="str">
        <f>F!C170</f>
        <v>In ducks-eye aerial view, the percentage of the ponded water that is open (lacking emergent vegetation during most of the growing season, and unhidden by a forest or shrub canopy) is:</v>
      </c>
      <c r="D112" s="512"/>
      <c r="E112" s="202"/>
      <c r="F112" s="100"/>
      <c r="G112" s="492">
        <f>IF((AllSat1&gt;0),"",IF((NoPonded=1),"",MAX(F113:F118)/MAX(E113:E118)))</f>
        <v>0</v>
      </c>
      <c r="H112" s="1669" t="s">
        <v>1864</v>
      </c>
      <c r="I112" s="1669" t="s">
        <v>2864</v>
      </c>
    </row>
    <row r="113" spans="1:9" ht="27" customHeight="1" x14ac:dyDescent="0.2">
      <c r="A113" s="2043"/>
      <c r="B113" s="2043"/>
      <c r="C113" s="718" t="str">
        <f>F!C171</f>
        <v>None, or &lt;1% of the AA and largest pool occupies &lt;0.01 hectares. Enter "1" and SKIP to F41 (Floating Algae &amp; Duckweed).</v>
      </c>
      <c r="D113" s="177">
        <f>F!D171</f>
        <v>0</v>
      </c>
      <c r="E113" s="187">
        <v>1</v>
      </c>
      <c r="F113" s="40">
        <f t="shared" ref="F113:F118" si="5">D113*E113</f>
        <v>0</v>
      </c>
      <c r="G113" s="493"/>
      <c r="H113" s="1670"/>
      <c r="I113" s="1670"/>
    </row>
    <row r="114" spans="1:9" ht="15" customHeight="1" x14ac:dyDescent="0.2">
      <c r="A114" s="2043"/>
      <c r="B114" s="2043"/>
      <c r="C114" s="715" t="str">
        <f>F!C172</f>
        <v>1-4% of the ponded water. Enter "1" and SKIP to F41 (Floating Algae &amp; Duckweed).</v>
      </c>
      <c r="D114" s="175">
        <f>F!D172</f>
        <v>0</v>
      </c>
      <c r="E114" s="187">
        <v>3</v>
      </c>
      <c r="F114" s="40">
        <f t="shared" si="5"/>
        <v>0</v>
      </c>
      <c r="G114" s="494"/>
      <c r="H114" s="1670"/>
      <c r="I114" s="1670"/>
    </row>
    <row r="115" spans="1:9" ht="15" customHeight="1" x14ac:dyDescent="0.2">
      <c r="A115" s="2043"/>
      <c r="B115" s="2043"/>
      <c r="C115" s="715" t="str">
        <f>F!C173</f>
        <v>5-30% of the ponded water.</v>
      </c>
      <c r="D115" s="175">
        <f>F!D173</f>
        <v>0</v>
      </c>
      <c r="E115" s="187">
        <v>4</v>
      </c>
      <c r="F115" s="40">
        <f t="shared" si="5"/>
        <v>0</v>
      </c>
      <c r="G115" s="494"/>
      <c r="H115" s="1670"/>
      <c r="I115" s="1670"/>
    </row>
    <row r="116" spans="1:9" ht="15" customHeight="1" x14ac:dyDescent="0.2">
      <c r="A116" s="2043"/>
      <c r="B116" s="2043"/>
      <c r="C116" s="715" t="str">
        <f>F!C174</f>
        <v>30-70% of the ponded water.</v>
      </c>
      <c r="D116" s="175">
        <f>F!D174</f>
        <v>0</v>
      </c>
      <c r="E116" s="187">
        <v>6</v>
      </c>
      <c r="F116" s="40">
        <f t="shared" si="5"/>
        <v>0</v>
      </c>
      <c r="G116" s="494"/>
      <c r="H116" s="1670"/>
      <c r="I116" s="1670"/>
    </row>
    <row r="117" spans="1:9" ht="15" customHeight="1" x14ac:dyDescent="0.2">
      <c r="A117" s="2043"/>
      <c r="B117" s="2043"/>
      <c r="C117" s="715" t="str">
        <f>F!C175</f>
        <v>70-99% of the ponded water.</v>
      </c>
      <c r="D117" s="175">
        <f>F!D175</f>
        <v>0</v>
      </c>
      <c r="E117" s="187">
        <v>4</v>
      </c>
      <c r="F117" s="40">
        <f t="shared" si="5"/>
        <v>0</v>
      </c>
      <c r="G117" s="494"/>
      <c r="H117" s="1670"/>
      <c r="I117" s="1670"/>
    </row>
    <row r="118" spans="1:9" ht="15" customHeight="1" thickBot="1" x14ac:dyDescent="0.25">
      <c r="A118" s="2044"/>
      <c r="B118" s="2044"/>
      <c r="C118" s="765" t="str">
        <f>F!C176</f>
        <v xml:space="preserve">100% of the ponded water. </v>
      </c>
      <c r="D118" s="491">
        <f>F!D176</f>
        <v>0</v>
      </c>
      <c r="E118" s="446">
        <v>2</v>
      </c>
      <c r="F118" s="98">
        <f t="shared" si="5"/>
        <v>0</v>
      </c>
      <c r="G118" s="495"/>
      <c r="H118" s="1671"/>
      <c r="I118" s="1671"/>
    </row>
    <row r="119" spans="1:9" ht="30" customHeight="1" thickBot="1" x14ac:dyDescent="0.25">
      <c r="A119" s="2052" t="str">
        <f>F!A177</f>
        <v>F34</v>
      </c>
      <c r="B119" s="2043" t="str">
        <f>F!B177</f>
        <v>Width of Vegetated Zone within Wetland</v>
      </c>
      <c r="C119" s="474" t="str">
        <f>F!C177</f>
        <v>At the time during the growing season when the AA's water level is lowest, the average width of vegetated area in the AA that separates adjoining uplands from open water within the AA is:</v>
      </c>
      <c r="D119" s="496"/>
      <c r="E119" s="186"/>
      <c r="F119" s="501"/>
      <c r="G119" s="497">
        <f>IF((AllSat1&gt;0),"",IF((NoOpenPonded=1),"",MAX(F120:F125)/MAX(E120:E125)))</f>
        <v>0</v>
      </c>
      <c r="H119" s="1670" t="s">
        <v>1212</v>
      </c>
      <c r="I119" s="1865" t="s">
        <v>221</v>
      </c>
    </row>
    <row r="120" spans="1:9" ht="15" customHeight="1" x14ac:dyDescent="0.2">
      <c r="A120" s="2052"/>
      <c r="B120" s="2043"/>
      <c r="C120" s="485" t="str">
        <f>F!C178</f>
        <v>&lt;1 m.</v>
      </c>
      <c r="D120" s="178">
        <f>F!D178</f>
        <v>0</v>
      </c>
      <c r="E120" s="187">
        <v>0</v>
      </c>
      <c r="F120" s="40">
        <f t="shared" ref="F120:F125" si="6">D120*E120</f>
        <v>0</v>
      </c>
      <c r="G120" s="493"/>
      <c r="H120" s="1670"/>
      <c r="I120" s="1866"/>
    </row>
    <row r="121" spans="1:9" ht="15" customHeight="1" x14ac:dyDescent="0.2">
      <c r="A121" s="2052"/>
      <c r="B121" s="2043"/>
      <c r="C121" s="475" t="str">
        <f>F!C179</f>
        <v>1 - 9 m.</v>
      </c>
      <c r="D121" s="177">
        <f>F!D179</f>
        <v>0</v>
      </c>
      <c r="E121" s="187">
        <v>1</v>
      </c>
      <c r="F121" s="40">
        <f t="shared" si="6"/>
        <v>0</v>
      </c>
      <c r="G121" s="494"/>
      <c r="H121" s="1670"/>
      <c r="I121" s="1866"/>
    </row>
    <row r="122" spans="1:9" ht="15" customHeight="1" x14ac:dyDescent="0.2">
      <c r="A122" s="2052"/>
      <c r="B122" s="2043"/>
      <c r="C122" s="475" t="str">
        <f>F!C180</f>
        <v>10 - 29 m.</v>
      </c>
      <c r="D122" s="177">
        <f>F!D180</f>
        <v>0</v>
      </c>
      <c r="E122" s="187">
        <v>2</v>
      </c>
      <c r="F122" s="40">
        <f t="shared" si="6"/>
        <v>0</v>
      </c>
      <c r="G122" s="494"/>
      <c r="H122" s="1670"/>
      <c r="I122" s="1866"/>
    </row>
    <row r="123" spans="1:9" ht="15" customHeight="1" x14ac:dyDescent="0.2">
      <c r="A123" s="2052"/>
      <c r="B123" s="2043"/>
      <c r="C123" s="475" t="str">
        <f>F!C181</f>
        <v>30 - 49 m.</v>
      </c>
      <c r="D123" s="177">
        <f>F!D181</f>
        <v>0</v>
      </c>
      <c r="E123" s="187">
        <v>3</v>
      </c>
      <c r="F123" s="40">
        <f t="shared" si="6"/>
        <v>0</v>
      </c>
      <c r="G123" s="494"/>
      <c r="H123" s="1670"/>
      <c r="I123" s="1866"/>
    </row>
    <row r="124" spans="1:9" ht="15" customHeight="1" x14ac:dyDescent="0.2">
      <c r="A124" s="2052"/>
      <c r="B124" s="2043"/>
      <c r="C124" s="475" t="str">
        <f>F!C182</f>
        <v>50 - 100 m.</v>
      </c>
      <c r="D124" s="177">
        <f>F!D182</f>
        <v>0</v>
      </c>
      <c r="E124" s="187">
        <v>4</v>
      </c>
      <c r="F124" s="40">
        <f t="shared" si="6"/>
        <v>0</v>
      </c>
      <c r="G124" s="494"/>
      <c r="H124" s="1670"/>
      <c r="I124" s="1866"/>
    </row>
    <row r="125" spans="1:9" ht="15" customHeight="1" thickBot="1" x14ac:dyDescent="0.25">
      <c r="A125" s="2052"/>
      <c r="B125" s="2043"/>
      <c r="C125" s="475" t="str">
        <f>F!C183</f>
        <v>&gt; 100 m, or open water is absent at that time.</v>
      </c>
      <c r="D125" s="177">
        <f>F!D183</f>
        <v>0</v>
      </c>
      <c r="E125" s="190">
        <v>6</v>
      </c>
      <c r="F125" s="498">
        <f t="shared" si="6"/>
        <v>0</v>
      </c>
      <c r="G125" s="499"/>
      <c r="H125" s="1670"/>
      <c r="I125" s="1867"/>
    </row>
    <row r="126" spans="1:9" ht="30" customHeight="1" thickBot="1" x14ac:dyDescent="0.25">
      <c r="A126" s="2051" t="str">
        <f>F!A184</f>
        <v>F35</v>
      </c>
      <c r="B126" s="2042" t="str">
        <f>F!B184</f>
        <v>Flat Shoreline Extent</v>
      </c>
      <c r="C126" s="470" t="str">
        <f>F!C184</f>
        <v>During most of the part of the growing season when water is present, the percentage of the AA's water edge length that is nearly flat (a slope less than about 5% measured within 5 m landward of the water) is:</v>
      </c>
      <c r="D126" s="126"/>
      <c r="E126" s="191"/>
      <c r="F126" s="100"/>
      <c r="G126" s="511">
        <f>IF((AllSat1&gt;0),"",IF((NoOpenPonded=1),"",MAX(F127:F131)/MAX(E127:E131)))</f>
        <v>0</v>
      </c>
      <c r="H126" s="1669" t="s">
        <v>1410</v>
      </c>
      <c r="I126" s="1669" t="s">
        <v>2866</v>
      </c>
    </row>
    <row r="127" spans="1:9" ht="15" customHeight="1" x14ac:dyDescent="0.2">
      <c r="A127" s="2050"/>
      <c r="B127" s="2043"/>
      <c r="C127" s="485" t="str">
        <f>F!C185</f>
        <v>&lt;1% of the water edge.</v>
      </c>
      <c r="D127" s="178">
        <f>F!D185</f>
        <v>0</v>
      </c>
      <c r="E127" s="187">
        <v>0</v>
      </c>
      <c r="F127" s="40">
        <f>D127*E127</f>
        <v>0</v>
      </c>
      <c r="G127" s="493"/>
      <c r="H127" s="1670"/>
      <c r="I127" s="1670"/>
    </row>
    <row r="128" spans="1:9" ht="15" customHeight="1" x14ac:dyDescent="0.2">
      <c r="A128" s="2050"/>
      <c r="B128" s="2043"/>
      <c r="C128" s="475" t="str">
        <f>F!C186</f>
        <v>1-25% of the water edge.</v>
      </c>
      <c r="D128" s="177">
        <f>F!D186</f>
        <v>0</v>
      </c>
      <c r="E128" s="187">
        <v>1</v>
      </c>
      <c r="F128" s="40">
        <f>D128*E128</f>
        <v>0</v>
      </c>
      <c r="G128" s="494"/>
      <c r="H128" s="1670"/>
      <c r="I128" s="1670"/>
    </row>
    <row r="129" spans="1:9" ht="15" customHeight="1" x14ac:dyDescent="0.2">
      <c r="A129" s="2050"/>
      <c r="B129" s="2043"/>
      <c r="C129" s="475" t="str">
        <f>F!C187</f>
        <v>25-50% of the water edge.</v>
      </c>
      <c r="D129" s="177">
        <f>F!D187</f>
        <v>0</v>
      </c>
      <c r="E129" s="187">
        <v>2</v>
      </c>
      <c r="F129" s="40">
        <f>D129*E129</f>
        <v>0</v>
      </c>
      <c r="G129" s="494"/>
      <c r="H129" s="1670"/>
      <c r="I129" s="1670"/>
    </row>
    <row r="130" spans="1:9" ht="15" customHeight="1" x14ac:dyDescent="0.2">
      <c r="A130" s="2050"/>
      <c r="B130" s="2043"/>
      <c r="C130" s="475" t="str">
        <f>F!C188</f>
        <v>50-75% of the water edge.</v>
      </c>
      <c r="D130" s="177">
        <f>F!D188</f>
        <v>0</v>
      </c>
      <c r="E130" s="187">
        <v>3</v>
      </c>
      <c r="F130" s="40">
        <f>D130*E130</f>
        <v>0</v>
      </c>
      <c r="G130" s="494"/>
      <c r="H130" s="1670"/>
      <c r="I130" s="1670"/>
    </row>
    <row r="131" spans="1:9" ht="15" customHeight="1" thickBot="1" x14ac:dyDescent="0.25">
      <c r="A131" s="2050"/>
      <c r="B131" s="2043"/>
      <c r="C131" s="475" t="str">
        <f>F!C189</f>
        <v>&gt;75% of the water edge.</v>
      </c>
      <c r="D131" s="177">
        <f>F!D189</f>
        <v>0</v>
      </c>
      <c r="E131" s="190">
        <v>4</v>
      </c>
      <c r="F131" s="498">
        <f>D131*E131</f>
        <v>0</v>
      </c>
      <c r="G131" s="499"/>
      <c r="H131" s="1671"/>
      <c r="I131" s="1671"/>
    </row>
    <row r="132" spans="1:9" ht="30" customHeight="1" thickBot="1" x14ac:dyDescent="0.25">
      <c r="A132" s="2051" t="str">
        <f>F!A190</f>
        <v>F36</v>
      </c>
      <c r="B132" s="2042" t="str">
        <f>F!B190</f>
        <v>Robust Emergents</v>
      </c>
      <c r="C132" s="91" t="str">
        <f>F!C190</f>
        <v>The percentage of the emergent vegetation cover in the AA that is cattail (Typha spp.), common reed (Phragmites), or tall (&gt;1m) bulrush is:</v>
      </c>
      <c r="D132" s="202"/>
      <c r="E132" s="191"/>
      <c r="F132" s="126"/>
      <c r="G132" s="511">
        <f>IF((AllSat1&gt;0),"",IF((NoOpenPonded=1),"",MAX(F133:F136)/MAX(E133:E136)))</f>
        <v>0</v>
      </c>
      <c r="H132" s="1669" t="s">
        <v>2328</v>
      </c>
      <c r="I132" s="1865" t="s">
        <v>2329</v>
      </c>
    </row>
    <row r="133" spans="1:9" ht="15" customHeight="1" x14ac:dyDescent="0.2">
      <c r="A133" s="2050"/>
      <c r="B133" s="2043"/>
      <c r="C133" s="1088" t="str">
        <f>F!C191</f>
        <v>&lt;1% of the emergent vegetation, or emergent vegetation is absent.  SKIP to F38.</v>
      </c>
      <c r="D133" s="175">
        <f>F!D191</f>
        <v>0</v>
      </c>
      <c r="E133" s="187">
        <v>0</v>
      </c>
      <c r="F133" s="40">
        <f>D133*E133</f>
        <v>0</v>
      </c>
      <c r="G133" s="504"/>
      <c r="H133" s="1670"/>
      <c r="I133" s="1866"/>
    </row>
    <row r="134" spans="1:9" ht="15" customHeight="1" x14ac:dyDescent="0.2">
      <c r="A134" s="2050"/>
      <c r="B134" s="2043"/>
      <c r="C134" s="715" t="str">
        <f>F!C192</f>
        <v>1-25% of the emergent vegetation.</v>
      </c>
      <c r="D134" s="175">
        <f>F!D192</f>
        <v>0</v>
      </c>
      <c r="E134" s="187">
        <v>2</v>
      </c>
      <c r="F134" s="40">
        <f>D134*E134</f>
        <v>0</v>
      </c>
      <c r="G134" s="504"/>
      <c r="H134" s="1670"/>
      <c r="I134" s="1866"/>
    </row>
    <row r="135" spans="1:9" ht="15" customHeight="1" x14ac:dyDescent="0.2">
      <c r="A135" s="2050"/>
      <c r="B135" s="2043"/>
      <c r="C135" s="715" t="str">
        <f>F!C193</f>
        <v>25-75% of the emergent vegetation.</v>
      </c>
      <c r="D135" s="175">
        <f>F!D193</f>
        <v>0</v>
      </c>
      <c r="E135" s="187">
        <v>4</v>
      </c>
      <c r="F135" s="40">
        <f>D135*E135</f>
        <v>0</v>
      </c>
      <c r="G135" s="504"/>
      <c r="H135" s="1670"/>
      <c r="I135" s="1866"/>
    </row>
    <row r="136" spans="1:9" ht="15" customHeight="1" thickBot="1" x14ac:dyDescent="0.25">
      <c r="A136" s="2053"/>
      <c r="B136" s="2044"/>
      <c r="C136" s="714" t="str">
        <f>F!C194</f>
        <v>&gt;75%, of the emergent vegetation.</v>
      </c>
      <c r="D136" s="176">
        <f>F!D194</f>
        <v>0</v>
      </c>
      <c r="E136" s="188">
        <v>3</v>
      </c>
      <c r="F136" s="98">
        <f>D136*E136</f>
        <v>0</v>
      </c>
      <c r="G136" s="505"/>
      <c r="H136" s="1671"/>
      <c r="I136" s="1867"/>
    </row>
    <row r="137" spans="1:9" ht="30" customHeight="1" thickBot="1" x14ac:dyDescent="0.25">
      <c r="A137" s="2050" t="str">
        <f>F!A195</f>
        <v>F37</v>
      </c>
      <c r="B137" s="2043" t="str">
        <f>F!B195</f>
        <v>Interspersion of Emergents &amp; Open Water</v>
      </c>
      <c r="C137" s="474" t="str">
        <f>F!C195</f>
        <v>During most of the part of the growing season when water is present, the spatial pattern of emergent vegetation within the water is mostly:</v>
      </c>
      <c r="D137" s="496"/>
      <c r="E137" s="186"/>
      <c r="F137" s="501"/>
      <c r="G137" s="502">
        <f>IF((AllSat1&gt;0),"",IF((NoPonded=1),"",IF((NoOpenPonded+NoOpenPonded1&gt;0),"",IF((AllOpenPond=1),"",IF((NoRobustEm=1),"",MAX(F138:F140)/MAX(E138:E140))))))</f>
        <v>0</v>
      </c>
      <c r="H137" s="1670" t="s">
        <v>1646</v>
      </c>
      <c r="I137" s="1865" t="s">
        <v>220</v>
      </c>
    </row>
    <row r="138" spans="1:9" ht="15" customHeight="1" x14ac:dyDescent="0.2">
      <c r="A138" s="2050"/>
      <c r="B138" s="2043"/>
      <c r="C138" s="471" t="str">
        <f>F!C196</f>
        <v>Scattered. More than 30% of such vegetation forms small islands or corridors surrounded by water.</v>
      </c>
      <c r="D138" s="174">
        <f>F!D196</f>
        <v>0</v>
      </c>
      <c r="E138" s="187">
        <v>3</v>
      </c>
      <c r="F138" s="211">
        <f>D138*E138</f>
        <v>0</v>
      </c>
      <c r="G138" s="501"/>
      <c r="H138" s="1670"/>
      <c r="I138" s="1866"/>
    </row>
    <row r="139" spans="1:9" ht="15" customHeight="1" x14ac:dyDescent="0.2">
      <c r="A139" s="2050"/>
      <c r="B139" s="2043"/>
      <c r="C139" s="472" t="str">
        <f>F!C197</f>
        <v>Intermediate.</v>
      </c>
      <c r="D139" s="175">
        <f>F!D197</f>
        <v>0</v>
      </c>
      <c r="E139" s="187">
        <v>2</v>
      </c>
      <c r="F139" s="211">
        <f>D139*E139</f>
        <v>0</v>
      </c>
      <c r="G139" s="501"/>
      <c r="H139" s="1670"/>
      <c r="I139" s="1866"/>
    </row>
    <row r="140" spans="1:9" ht="31.5" customHeight="1" thickBot="1" x14ac:dyDescent="0.25">
      <c r="A140" s="2050"/>
      <c r="B140" s="2043"/>
      <c r="C140" s="475" t="str">
        <f>F!C198</f>
        <v>Clumped. More than 70% of such vegetation is in bands along the wetland perimeter or is clumped at one or a few sides of the surface water area.</v>
      </c>
      <c r="D140" s="177">
        <f>F!D198</f>
        <v>0</v>
      </c>
      <c r="E140" s="190">
        <v>1</v>
      </c>
      <c r="F140" s="213">
        <f>D140*E140</f>
        <v>0</v>
      </c>
      <c r="G140" s="513"/>
      <c r="H140" s="1670"/>
      <c r="I140" s="1867"/>
    </row>
    <row r="141" spans="1:9" ht="53.25" customHeight="1" thickBot="1" x14ac:dyDescent="0.25">
      <c r="A141" s="469" t="str">
        <f>F!A204</f>
        <v>F40</v>
      </c>
      <c r="B141" s="91" t="str">
        <f>F!B204</f>
        <v>Isolated Island</v>
      </c>
      <c r="C141" s="709" t="str">
        <f>F!C204</f>
        <v>The AA contains (or is part of) an island or beaver lodge within a lake, pond, or river, and is isolated from the shore by water depths &gt;1 m on all sides during an average June. The island may be solid, or it may be a floating vegetation mat that is sufficiently large and dense to support a waterbird nest.</v>
      </c>
      <c r="D141" s="686">
        <f>F!D204</f>
        <v>0</v>
      </c>
      <c r="E141" s="207"/>
      <c r="F141" s="95"/>
      <c r="G141" s="492" t="str">
        <f>IF((TooSmall=1),"",IF((DeepPersis=0),"",IF((D141=0),"",D141)))</f>
        <v/>
      </c>
      <c r="H141" s="36" t="s">
        <v>1214</v>
      </c>
      <c r="I141" s="894" t="s">
        <v>1054</v>
      </c>
    </row>
    <row r="142" spans="1:9" ht="42" customHeight="1" thickBot="1" x14ac:dyDescent="0.25">
      <c r="A142" s="2042" t="str">
        <f>F!A224</f>
        <v>F47</v>
      </c>
      <c r="B142" s="2042" t="str">
        <f>F!B224</f>
        <v>pH Measurement</v>
      </c>
      <c r="C142" s="91" t="str">
        <f>F!C224</f>
        <v>The pH in most of the AA's surface water:</v>
      </c>
      <c r="D142" s="1446"/>
      <c r="E142" s="191"/>
      <c r="F142" s="100"/>
      <c r="G142" s="492">
        <f>IF((D145=1),"", IF((D144=1),0, IF((D145&gt;0&lt;5),0, 1)))</f>
        <v>1</v>
      </c>
      <c r="H142" s="1669" t="s">
        <v>2596</v>
      </c>
      <c r="I142" s="1865" t="s">
        <v>233</v>
      </c>
    </row>
    <row r="143" spans="1:9" ht="24" customHeight="1" thickBot="1" x14ac:dyDescent="0.25">
      <c r="A143" s="2043"/>
      <c r="B143" s="2043"/>
      <c r="C143" s="1370" t="str">
        <f>F!C225</f>
        <v>Was measured, and is:  [enter the reading in the column to the right.]</v>
      </c>
      <c r="D143" s="1447" t="str">
        <f>IF((F!D225=""),"",F!D225)</f>
        <v/>
      </c>
      <c r="E143" s="203"/>
      <c r="F143" s="40"/>
      <c r="G143" s="46"/>
      <c r="H143" s="1670"/>
      <c r="I143" s="1866"/>
    </row>
    <row r="144" spans="1:9" ht="36" customHeight="1" x14ac:dyDescent="0.2">
      <c r="A144" s="2043"/>
      <c r="B144" s="2043"/>
      <c r="C144" s="715" t="str">
        <f>F!C226</f>
        <v xml:space="preserve">Was not measured but surface water is present and is darkly tea-coloured.  Or if no surface water, then mosses and plants that indicate peatland (e.g., Labrador tea) are prevalent. Enter "1". </v>
      </c>
      <c r="D144" s="48">
        <f>F!D226</f>
        <v>0</v>
      </c>
      <c r="E144" s="187"/>
      <c r="F144" s="40"/>
      <c r="G144" s="43"/>
      <c r="H144" s="1670"/>
      <c r="I144" s="1866"/>
    </row>
    <row r="145" spans="1:9" ht="30" customHeight="1" thickBot="1" x14ac:dyDescent="0.25">
      <c r="A145" s="2044"/>
      <c r="B145" s="2044"/>
      <c r="C145" s="714" t="str">
        <f>F!C227</f>
        <v>Neither of above. Enter "1".</v>
      </c>
      <c r="D145" s="176">
        <f>F!D227</f>
        <v>0</v>
      </c>
      <c r="E145" s="204"/>
      <c r="F145" s="98"/>
      <c r="G145" s="102"/>
      <c r="H145" s="1671"/>
      <c r="I145" s="1867"/>
    </row>
    <row r="146" spans="1:9" ht="21" customHeight="1" thickBot="1" x14ac:dyDescent="0.25">
      <c r="A146" s="2051" t="str">
        <f>F!A233</f>
        <v>F49</v>
      </c>
      <c r="B146" s="2042" t="str">
        <f>F!B233</f>
        <v>Beaver Probability</v>
      </c>
      <c r="C146" s="470" t="str">
        <f>F!C233</f>
        <v>Use of the AA by beaver during the past 5 years is (select most applicable ONE):</v>
      </c>
      <c r="D146" s="126"/>
      <c r="E146" s="191"/>
      <c r="F146" s="126"/>
      <c r="G146" s="492">
        <f>IF((AllSat1&gt;0),"",MAX(F147:F149)/MAX(E147:E149))</f>
        <v>0</v>
      </c>
      <c r="H146" s="1669" t="s">
        <v>2888</v>
      </c>
      <c r="I146" s="1865" t="s">
        <v>234</v>
      </c>
    </row>
    <row r="147" spans="1:9" ht="27" customHeight="1" x14ac:dyDescent="0.2">
      <c r="A147" s="2050"/>
      <c r="B147" s="2043"/>
      <c r="C147" s="471" t="str">
        <f>F!C234</f>
        <v>Evident from direct observation or presence of gnawed limbs, dams, tracks, dens, lodges, or extensive stands of water-killed trees (snags).</v>
      </c>
      <c r="D147" s="174">
        <f>F!D234</f>
        <v>0</v>
      </c>
      <c r="E147" s="187">
        <v>3</v>
      </c>
      <c r="F147" s="40">
        <f>D147*E147</f>
        <v>0</v>
      </c>
      <c r="G147" s="494"/>
      <c r="H147" s="1670"/>
      <c r="I147" s="1866"/>
    </row>
    <row r="148" spans="1:9" ht="42" customHeight="1" x14ac:dyDescent="0.2">
      <c r="A148" s="2050"/>
      <c r="B148" s="2043"/>
      <c r="C148" s="472" t="str">
        <f>F!C235</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148" s="175">
        <f>F!D235</f>
        <v>0</v>
      </c>
      <c r="E148" s="187">
        <v>2</v>
      </c>
      <c r="F148" s="40">
        <f>D148*E148</f>
        <v>0</v>
      </c>
      <c r="G148" s="494"/>
      <c r="H148" s="1670"/>
      <c r="I148" s="1866"/>
    </row>
    <row r="149" spans="1:9" ht="27" customHeight="1" thickBot="1" x14ac:dyDescent="0.25">
      <c r="A149" s="2050"/>
      <c r="B149" s="2043"/>
      <c r="C149" s="475" t="str">
        <f>F!C236</f>
        <v xml:space="preserve">Unlikely because site characteristics above are deficient, and/or this is a settled area or other area where beaver are routinely removed. </v>
      </c>
      <c r="D149" s="177">
        <f>F!D236</f>
        <v>0</v>
      </c>
      <c r="E149" s="190">
        <v>0</v>
      </c>
      <c r="F149" s="498">
        <f>D149*E149</f>
        <v>0</v>
      </c>
      <c r="G149" s="499"/>
      <c r="H149" s="1670"/>
      <c r="I149" s="1867"/>
    </row>
    <row r="150" spans="1:9" s="699" customFormat="1" ht="21" customHeight="1" thickBot="1" x14ac:dyDescent="0.25">
      <c r="A150" s="2067" t="str">
        <f>F!A241</f>
        <v>F51</v>
      </c>
      <c r="B150" s="2067" t="str">
        <f>F!B241</f>
        <v>Internal Gradient</v>
      </c>
      <c r="C150" s="968" t="str">
        <f>F!C241</f>
        <v>The gradient along most of the flow path within the AA is:</v>
      </c>
      <c r="D150" s="390"/>
      <c r="E150" s="191"/>
      <c r="F150" s="209"/>
      <c r="G150" s="291">
        <f>MAX(F151:F154)/MAX(E151:E154)</f>
        <v>0</v>
      </c>
      <c r="H150" s="1802" t="s">
        <v>76</v>
      </c>
      <c r="I150" s="1865" t="s">
        <v>225</v>
      </c>
    </row>
    <row r="151" spans="1:9" s="699" customFormat="1" ht="15" customHeight="1" x14ac:dyDescent="0.2">
      <c r="A151" s="1696"/>
      <c r="B151" s="1696"/>
      <c r="C151" s="976" t="str">
        <f>F!C242</f>
        <v>&lt;2% or the AA has no surface water outlet (not even seasonally).</v>
      </c>
      <c r="D151" s="1442">
        <f>F!D242</f>
        <v>0</v>
      </c>
      <c r="E151" s="187">
        <v>4</v>
      </c>
      <c r="F151" s="187">
        <f>Steep13*E151</f>
        <v>0</v>
      </c>
      <c r="G151" s="292"/>
      <c r="H151" s="1803"/>
      <c r="I151" s="1866"/>
    </row>
    <row r="152" spans="1:9" s="699" customFormat="1" ht="15" customHeight="1" x14ac:dyDescent="0.2">
      <c r="A152" s="1696"/>
      <c r="B152" s="1696"/>
      <c r="C152" s="977" t="str">
        <f>F!C243</f>
        <v>2-5%.</v>
      </c>
      <c r="D152" s="1444">
        <f>F!D243</f>
        <v>0</v>
      </c>
      <c r="E152" s="187">
        <v>2</v>
      </c>
      <c r="F152" s="187">
        <f>D152*E152</f>
        <v>0</v>
      </c>
      <c r="G152" s="293"/>
      <c r="H152" s="1803"/>
      <c r="I152" s="1866"/>
    </row>
    <row r="153" spans="1:9" s="699" customFormat="1" ht="15" customHeight="1" x14ac:dyDescent="0.2">
      <c r="A153" s="1696"/>
      <c r="B153" s="1696"/>
      <c r="C153" s="979" t="str">
        <f>F!C244</f>
        <v>6-10%.</v>
      </c>
      <c r="D153" s="1444">
        <f>F!D244</f>
        <v>0</v>
      </c>
      <c r="E153" s="187">
        <v>1</v>
      </c>
      <c r="F153" s="187">
        <f>D153*E153</f>
        <v>0</v>
      </c>
      <c r="G153" s="293"/>
      <c r="H153" s="1803"/>
      <c r="I153" s="1866"/>
    </row>
    <row r="154" spans="1:9" s="699" customFormat="1" ht="15" customHeight="1" thickBot="1" x14ac:dyDescent="0.25">
      <c r="A154" s="1712"/>
      <c r="B154" s="1712"/>
      <c r="C154" s="978" t="str">
        <f>F!C245</f>
        <v>&gt;10%.</v>
      </c>
      <c r="D154" s="1443">
        <f>F!D245</f>
        <v>0</v>
      </c>
      <c r="E154" s="321">
        <v>0</v>
      </c>
      <c r="F154" s="190">
        <f>D154*E154</f>
        <v>0</v>
      </c>
      <c r="G154" s="302"/>
      <c r="H154" s="1804"/>
      <c r="I154" s="1867"/>
    </row>
    <row r="155" spans="1:9" ht="45" customHeight="1" thickBot="1" x14ac:dyDescent="0.25">
      <c r="A155" s="2057" t="str">
        <f>F!A247</f>
        <v>F52</v>
      </c>
      <c r="B155" s="2057" t="str">
        <f>F!B247</f>
        <v>Vegetated Buffer as % of Perimeter</v>
      </c>
      <c r="C155" s="470" t="str">
        <f>F!C247</f>
        <v>Within a zone extending 30 m laterally from the AA's edge with upland and/or other wetlands, the percentage that contains perennial vegetation cover (except lawns, row crops, heavily grazed land, conifer plantations) is:</v>
      </c>
      <c r="D155" s="685"/>
      <c r="E155" s="191"/>
      <c r="F155" s="100"/>
      <c r="G155" s="511">
        <f>MAX(F156:F160)/MAX(E156:E160)</f>
        <v>0</v>
      </c>
      <c r="H155" s="1669" t="s">
        <v>614</v>
      </c>
      <c r="I155" s="1865" t="s">
        <v>228</v>
      </c>
    </row>
    <row r="156" spans="1:9" ht="15" customHeight="1" x14ac:dyDescent="0.2">
      <c r="A156" s="2061"/>
      <c r="B156" s="2061"/>
      <c r="C156" s="713" t="str">
        <f>F!C248</f>
        <v>&lt;5%.</v>
      </c>
      <c r="D156" s="175">
        <f>F!D248</f>
        <v>0</v>
      </c>
      <c r="E156" s="203">
        <v>0</v>
      </c>
      <c r="F156" s="40">
        <f>D156*E156</f>
        <v>0</v>
      </c>
      <c r="G156" s="493"/>
      <c r="H156" s="1670"/>
      <c r="I156" s="1866"/>
    </row>
    <row r="157" spans="1:9" ht="15" customHeight="1" x14ac:dyDescent="0.2">
      <c r="A157" s="2061"/>
      <c r="B157" s="2061"/>
      <c r="C157" s="715" t="str">
        <f>F!C249</f>
        <v>5 to 30%.</v>
      </c>
      <c r="D157" s="175">
        <f>F!D249</f>
        <v>0</v>
      </c>
      <c r="E157" s="203">
        <v>2</v>
      </c>
      <c r="F157" s="40">
        <f>D157*E157</f>
        <v>0</v>
      </c>
      <c r="G157" s="494"/>
      <c r="H157" s="1670"/>
      <c r="I157" s="1866"/>
    </row>
    <row r="158" spans="1:9" ht="15" customHeight="1" x14ac:dyDescent="0.2">
      <c r="A158" s="2061"/>
      <c r="B158" s="2061"/>
      <c r="C158" s="716" t="str">
        <f>F!C250</f>
        <v>30 to 60%.</v>
      </c>
      <c r="D158" s="174">
        <f>F!D250</f>
        <v>0</v>
      </c>
      <c r="E158" s="203">
        <v>3</v>
      </c>
      <c r="F158" s="40">
        <f>D158*E158</f>
        <v>0</v>
      </c>
      <c r="G158" s="494"/>
      <c r="H158" s="1670"/>
      <c r="I158" s="1866"/>
    </row>
    <row r="159" spans="1:9" ht="15" customHeight="1" x14ac:dyDescent="0.2">
      <c r="A159" s="2061"/>
      <c r="B159" s="2061"/>
      <c r="C159" s="718" t="str">
        <f>F!C251</f>
        <v>60 to 90%.</v>
      </c>
      <c r="D159" s="174">
        <f>F!D251</f>
        <v>0</v>
      </c>
      <c r="E159" s="203">
        <v>4</v>
      </c>
      <c r="F159" s="40">
        <f>D159*E159</f>
        <v>0</v>
      </c>
      <c r="G159" s="494"/>
      <c r="H159" s="1670"/>
      <c r="I159" s="1866"/>
    </row>
    <row r="160" spans="1:9" ht="15" customHeight="1" thickBot="1" x14ac:dyDescent="0.25">
      <c r="A160" s="2062"/>
      <c r="B160" s="2062"/>
      <c r="C160" s="714" t="str">
        <f>F!C252</f>
        <v>&gt;90%, or all the area within 30 m of the AA edge is other wetlands. SKIP to F55.</v>
      </c>
      <c r="D160" s="491">
        <f>F!D252</f>
        <v>0</v>
      </c>
      <c r="E160" s="204">
        <v>6</v>
      </c>
      <c r="F160" s="98">
        <f>D160*E160</f>
        <v>0</v>
      </c>
      <c r="G160" s="495"/>
      <c r="H160" s="1671"/>
      <c r="I160" s="1867"/>
    </row>
    <row r="161" spans="1:9" ht="30" customHeight="1" thickBot="1" x14ac:dyDescent="0.25">
      <c r="A161" s="2048" t="str">
        <f>F!A253</f>
        <v>F53</v>
      </c>
      <c r="B161" s="2048" t="str">
        <f>F!B253</f>
        <v>Type of Cover in Buffer</v>
      </c>
      <c r="C161" s="91" t="str">
        <f>F!C253</f>
        <v>Within 30 m upslope of where the wetland transitions to upland, the upland land cover that is NOT perennial vegetation is mostly (mark ONE):</v>
      </c>
      <c r="D161" s="719"/>
      <c r="E161" s="186"/>
      <c r="F161" s="46"/>
      <c r="G161" s="497">
        <f>IF((BuffAllNat=1),"", MAX(F162:F163)/MAX(E162:E163))</f>
        <v>0</v>
      </c>
      <c r="H161" s="1805" t="s">
        <v>2610</v>
      </c>
      <c r="I161" s="1865" t="s">
        <v>229</v>
      </c>
    </row>
    <row r="162" spans="1:9" ht="15" customHeight="1" x14ac:dyDescent="0.2">
      <c r="A162" s="2048"/>
      <c r="B162" s="2048"/>
      <c r="C162" s="716" t="str">
        <f>F!C254</f>
        <v>Impervious surface, e.g., paved road, parking lot, building, exposed rock.</v>
      </c>
      <c r="D162" s="178">
        <f>F!D254</f>
        <v>0</v>
      </c>
      <c r="E162" s="203">
        <v>0</v>
      </c>
      <c r="F162" s="40">
        <f>D162*E162</f>
        <v>0</v>
      </c>
      <c r="G162" s="493"/>
      <c r="H162" s="1803"/>
      <c r="I162" s="1866"/>
    </row>
    <row r="163" spans="1:9" ht="27" customHeight="1" thickBot="1" x14ac:dyDescent="0.25">
      <c r="A163" s="2048"/>
      <c r="B163" s="2048"/>
      <c r="C163" s="714" t="str">
        <f>F!C255</f>
        <v>Bare or nearly bare pervious surface or managed vegetation, e.g., lawn, row crops, unpaved road, dike, landslide.</v>
      </c>
      <c r="D163" s="176">
        <f>F!D255</f>
        <v>0</v>
      </c>
      <c r="E163" s="321">
        <v>1</v>
      </c>
      <c r="F163" s="498">
        <f>D163*E163</f>
        <v>0</v>
      </c>
      <c r="G163" s="499"/>
      <c r="H163" s="1806"/>
      <c r="I163" s="1867"/>
    </row>
    <row r="164" spans="1:9" ht="66" customHeight="1" thickBot="1" x14ac:dyDescent="0.25">
      <c r="A164" s="2057" t="str">
        <f>F!A282</f>
        <v>F60</v>
      </c>
      <c r="B164" s="2057" t="str">
        <f>F!B282</f>
        <v xml:space="preserve">Unvisited Core Area </v>
      </c>
      <c r="C164" s="470" t="str">
        <f>F!C282</f>
        <v>The percentage of the AA almost never visited by humans during an average growing season probably comprises: [Note: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v>
      </c>
      <c r="D164" s="685"/>
      <c r="E164" s="290"/>
      <c r="F164" s="500"/>
      <c r="G164" s="492">
        <f>MAX(F165:F170)/MAX(E165:E170)</f>
        <v>0</v>
      </c>
      <c r="H164" s="1669" t="s">
        <v>1469</v>
      </c>
      <c r="I164" s="1865" t="s">
        <v>226</v>
      </c>
    </row>
    <row r="165" spans="1:9" ht="15" customHeight="1" x14ac:dyDescent="0.2">
      <c r="A165" s="2048"/>
      <c r="B165" s="2048"/>
      <c r="C165" s="717" t="str">
        <f>F!C283</f>
        <v>&lt;5% and no inhabited building is within 100 m of the AA.</v>
      </c>
      <c r="D165" s="177">
        <f>F!D283</f>
        <v>0</v>
      </c>
      <c r="E165" s="672">
        <v>1</v>
      </c>
      <c r="F165" s="40">
        <f t="shared" ref="F165:F170" si="7">D165*E165</f>
        <v>0</v>
      </c>
      <c r="G165" s="493"/>
      <c r="H165" s="1670"/>
      <c r="I165" s="1866"/>
    </row>
    <row r="166" spans="1:9" ht="15" customHeight="1" x14ac:dyDescent="0.2">
      <c r="A166" s="2048"/>
      <c r="B166" s="2048"/>
      <c r="C166" s="715" t="str">
        <f>F!C284</f>
        <v>&lt;5% and inhabited building is within 100 m of the AA.</v>
      </c>
      <c r="D166" s="177">
        <f>F!D284</f>
        <v>0</v>
      </c>
      <c r="E166" s="672">
        <v>0</v>
      </c>
      <c r="F166" s="40">
        <f t="shared" si="7"/>
        <v>0</v>
      </c>
      <c r="G166" s="494"/>
      <c r="H166" s="1670"/>
      <c r="I166" s="1866"/>
    </row>
    <row r="167" spans="1:9" ht="15" customHeight="1" x14ac:dyDescent="0.2">
      <c r="A167" s="2048"/>
      <c r="B167" s="2048"/>
      <c r="C167" s="715" t="str">
        <f>F!C285</f>
        <v>5-50% and no inhabited building is within 100 m of the AA.</v>
      </c>
      <c r="D167" s="177">
        <f>F!D285</f>
        <v>0</v>
      </c>
      <c r="E167" s="672">
        <v>3</v>
      </c>
      <c r="F167" s="40">
        <f t="shared" si="7"/>
        <v>0</v>
      </c>
      <c r="G167" s="494"/>
      <c r="H167" s="1670"/>
      <c r="I167" s="1866"/>
    </row>
    <row r="168" spans="1:9" ht="15" customHeight="1" x14ac:dyDescent="0.2">
      <c r="A168" s="2048"/>
      <c r="B168" s="2048"/>
      <c r="C168" s="716" t="str">
        <f>F!C286</f>
        <v>5-50% and inhabited building is within 100 m of the AA.</v>
      </c>
      <c r="D168" s="177">
        <f>F!D286</f>
        <v>0</v>
      </c>
      <c r="E168" s="672">
        <v>2</v>
      </c>
      <c r="F168" s="40">
        <f t="shared" si="7"/>
        <v>0</v>
      </c>
      <c r="G168" s="499"/>
      <c r="H168" s="1670"/>
      <c r="I168" s="1866"/>
    </row>
    <row r="169" spans="1:9" ht="15" customHeight="1" x14ac:dyDescent="0.2">
      <c r="A169" s="2048"/>
      <c r="B169" s="2048"/>
      <c r="C169" s="718" t="str">
        <f>F!C287</f>
        <v>50-95%, with or without inhabited building nearby.</v>
      </c>
      <c r="D169" s="177">
        <f>F!D287</f>
        <v>0</v>
      </c>
      <c r="E169" s="672">
        <v>4</v>
      </c>
      <c r="F169" s="40">
        <f t="shared" si="7"/>
        <v>0</v>
      </c>
      <c r="G169" s="499"/>
      <c r="H169" s="1670"/>
      <c r="I169" s="1866"/>
    </row>
    <row r="170" spans="1:9" ht="15" customHeight="1" thickBot="1" x14ac:dyDescent="0.25">
      <c r="A170" s="2049"/>
      <c r="B170" s="2049"/>
      <c r="C170" s="714" t="str">
        <f>F!C288</f>
        <v>&gt;95% of the AA with or without inhabited building nearby.</v>
      </c>
      <c r="D170" s="176">
        <f>F!D288</f>
        <v>0</v>
      </c>
      <c r="E170" s="707">
        <v>5</v>
      </c>
      <c r="F170" s="98">
        <f t="shared" si="7"/>
        <v>0</v>
      </c>
      <c r="G170" s="495"/>
      <c r="H170" s="1671"/>
      <c r="I170" s="1867"/>
    </row>
    <row r="171" spans="1:9" ht="30" customHeight="1" thickBot="1" x14ac:dyDescent="0.25">
      <c r="A171" s="2048" t="str">
        <f>F!A289</f>
        <v>F61</v>
      </c>
      <c r="B171" s="2048" t="str">
        <f>F!B289</f>
        <v>Frequently Visited Area</v>
      </c>
      <c r="C171" s="470" t="str">
        <f>F!C289</f>
        <v>The part of the AA visited by humans almost daily for several weeks during an average growing season probably comprises:  [See note above.]</v>
      </c>
      <c r="D171" s="685"/>
      <c r="E171" s="217"/>
      <c r="F171" s="501"/>
      <c r="G171" s="502">
        <f>MAX(F172:F175)/MAX(E172:E175)</f>
        <v>0</v>
      </c>
      <c r="H171" s="1670" t="s">
        <v>87</v>
      </c>
      <c r="I171" s="1865" t="s">
        <v>227</v>
      </c>
    </row>
    <row r="172" spans="1:9" ht="15" customHeight="1" x14ac:dyDescent="0.2">
      <c r="A172" s="2048"/>
      <c r="B172" s="2048"/>
      <c r="C172" s="713" t="str">
        <f>F!C290</f>
        <v>&lt;5%. If F60 was answered "&gt;95%" (mostly never visited), SKIP to F64.</v>
      </c>
      <c r="D172" s="177">
        <f>F!D290</f>
        <v>0</v>
      </c>
      <c r="E172" s="672">
        <v>2</v>
      </c>
      <c r="F172" s="40">
        <f>D172*E172</f>
        <v>0</v>
      </c>
      <c r="G172" s="493"/>
      <c r="H172" s="1670"/>
      <c r="I172" s="1866"/>
    </row>
    <row r="173" spans="1:9" ht="15" customHeight="1" x14ac:dyDescent="0.2">
      <c r="A173" s="2048"/>
      <c r="B173" s="2048"/>
      <c r="C173" s="715" t="str">
        <f>F!C291</f>
        <v>5-50%.</v>
      </c>
      <c r="D173" s="177">
        <f>F!D291</f>
        <v>0</v>
      </c>
      <c r="E173" s="672">
        <v>1</v>
      </c>
      <c r="F173" s="40">
        <f>D173*E173</f>
        <v>0</v>
      </c>
      <c r="G173" s="494"/>
      <c r="H173" s="1670"/>
      <c r="I173" s="1866"/>
    </row>
    <row r="174" spans="1:9" ht="15" customHeight="1" x14ac:dyDescent="0.2">
      <c r="A174" s="2048"/>
      <c r="B174" s="2048"/>
      <c r="C174" s="716" t="str">
        <f>F!C292</f>
        <v>50-95%.</v>
      </c>
      <c r="D174" s="175">
        <f>F!D292</f>
        <v>0</v>
      </c>
      <c r="E174" s="672">
        <v>0</v>
      </c>
      <c r="F174" s="40">
        <f>D174*E174</f>
        <v>0</v>
      </c>
      <c r="G174" s="494"/>
      <c r="H174" s="1670"/>
      <c r="I174" s="1866"/>
    </row>
    <row r="175" spans="1:9" ht="15" customHeight="1" thickBot="1" x14ac:dyDescent="0.25">
      <c r="A175" s="2048"/>
      <c r="B175" s="2048"/>
      <c r="C175" s="714" t="str">
        <f>F!C293</f>
        <v>&gt;95% of the AA.</v>
      </c>
      <c r="D175" s="491">
        <f>F!D293</f>
        <v>0</v>
      </c>
      <c r="E175" s="712">
        <v>0</v>
      </c>
      <c r="F175" s="498">
        <f>D175*E175</f>
        <v>0</v>
      </c>
      <c r="G175" s="499"/>
      <c r="H175" s="1670"/>
      <c r="I175" s="1867"/>
    </row>
    <row r="176" spans="1:9" ht="76.5" customHeight="1" thickBot="1" x14ac:dyDescent="0.25">
      <c r="A176" s="470" t="str">
        <f>F!A295</f>
        <v>F63</v>
      </c>
      <c r="B176" s="470" t="str">
        <f>F!B295</f>
        <v>BMP - Wildlife Protection</v>
      </c>
      <c r="C176" s="489" t="str">
        <f>F!C295</f>
        <v xml:space="preserve">Fences, observation blinds, platforms, paved trails, exclusion periods, and/or well-enforced prohibitions on motorised boats, off-leash pets, and off road vehicles appear to effectively exclude or divert visitors and their pets from the AA at critical times in order to minimize disturbance of wildlife (except during hunting seasons). Enter "1" if true. </v>
      </c>
      <c r="D176" s="686">
        <f>F!D295</f>
        <v>0</v>
      </c>
      <c r="E176" s="220"/>
      <c r="F176" s="514"/>
      <c r="G176" s="492">
        <f>IF((D170+D172&gt;1),"",D176)</f>
        <v>0</v>
      </c>
      <c r="H176" s="36" t="s">
        <v>610</v>
      </c>
      <c r="I176" s="894" t="s">
        <v>1043</v>
      </c>
    </row>
    <row r="177" spans="1:9" s="972" customFormat="1" ht="36" customHeight="1" thickBot="1" x14ac:dyDescent="0.35">
      <c r="A177" s="849" t="s">
        <v>88</v>
      </c>
      <c r="B177" s="850" t="s">
        <v>1901</v>
      </c>
      <c r="C177" s="852" t="s">
        <v>1164</v>
      </c>
      <c r="D177" s="971" t="s">
        <v>45</v>
      </c>
      <c r="E177" s="944" t="s">
        <v>1188</v>
      </c>
      <c r="F177" s="928" t="s">
        <v>1189</v>
      </c>
      <c r="G177" s="945" t="s">
        <v>2558</v>
      </c>
      <c r="H177" s="850" t="s">
        <v>1117</v>
      </c>
      <c r="I177" s="931" t="s">
        <v>2427</v>
      </c>
    </row>
    <row r="178" spans="1:9" ht="114" customHeight="1" thickBot="1" x14ac:dyDescent="0.25">
      <c r="A178" s="1092" t="str">
        <f>OF!A39</f>
        <v>OF6</v>
      </c>
      <c r="B178" s="1091" t="str">
        <f>OF!B39</f>
        <v>Herbaceous Uniqueness</v>
      </c>
      <c r="C178" s="1098" t="str">
        <f>OF!C39</f>
        <v xml:space="preserve">The AA's vegetation cover is &gt;10% herbaceous* but uplands within 5 km have &lt;10% herbaceous cover. If so, enter "3" and continue to OF7.  If not, consider: 
The AA's vegetation cover is &gt;10% herbaceous* but uplands within 1 km have &lt;10% herbaceous cover. If so enter "2" and continue to OF7.  If not, consider: 
The AA's vegetation cover is &gt;10% herbaceous* but uplands within 100 m of the wetland edge have &lt;10% herbaceous cover.  If so, enter "1".
[* NOTE: Exclude lawns, row crops, heavily grazed lands, forest, shrublands. Include moss as well as grasslike plants in this use of "herbaceous vegetation"]
</v>
      </c>
      <c r="D178" s="1096">
        <f>OF!D39</f>
        <v>0</v>
      </c>
      <c r="E178" s="705"/>
      <c r="F178" s="679"/>
      <c r="G178" s="1095">
        <f>D178/3</f>
        <v>0</v>
      </c>
      <c r="H178" s="1343" t="s">
        <v>2234</v>
      </c>
      <c r="I178" s="1126" t="s">
        <v>1676</v>
      </c>
    </row>
    <row r="179" spans="1:9" ht="30" customHeight="1" thickBot="1" x14ac:dyDescent="0.25">
      <c r="A179" s="2039" t="str">
        <f>OF!A64</f>
        <v>OF13</v>
      </c>
      <c r="B179" s="2035" t="str">
        <f>OF!B64</f>
        <v>Distance to Ponded Water</v>
      </c>
      <c r="C179" s="654" t="str">
        <f>OF!C64</f>
        <v>The distance from the AA center to the closest (but separate) ponded water body visible in GoogleEarth imagery is:</v>
      </c>
      <c r="D179" s="218"/>
      <c r="E179" s="290"/>
      <c r="F179" s="191"/>
      <c r="G179" s="310">
        <f>MAX(F180:F186)/MAX(E180:E186)</f>
        <v>0</v>
      </c>
      <c r="H179" s="1669" t="s">
        <v>2371</v>
      </c>
      <c r="I179" s="1865" t="s">
        <v>2370</v>
      </c>
    </row>
    <row r="180" spans="1:9" ht="27" x14ac:dyDescent="0.2">
      <c r="A180" s="2040"/>
      <c r="B180" s="2036"/>
      <c r="C180" s="1000" t="str">
        <f>OF!C65</f>
        <v xml:space="preserve">&lt;50 m, and not separated by any width of paved roads, stretches of open water, row crops, lawn, bare ground, or impervious surface. </v>
      </c>
      <c r="D180" s="655">
        <f>OF!D65</f>
        <v>0</v>
      </c>
      <c r="E180" s="211">
        <v>0</v>
      </c>
      <c r="F180" s="187">
        <f t="shared" ref="F180:F186" si="8">D180*E180</f>
        <v>0</v>
      </c>
      <c r="G180" s="189"/>
      <c r="H180" s="1670"/>
      <c r="I180" s="1866"/>
    </row>
    <row r="181" spans="1:9" ht="15" customHeight="1" x14ac:dyDescent="0.2">
      <c r="A181" s="2040"/>
      <c r="B181" s="2036"/>
      <c r="C181" s="1001" t="str">
        <f>OF!C66</f>
        <v>&lt;50 m, but completely separated by those features.</v>
      </c>
      <c r="D181" s="655">
        <f>OF!D66</f>
        <v>0</v>
      </c>
      <c r="E181" s="211">
        <v>0</v>
      </c>
      <c r="F181" s="187">
        <f t="shared" si="8"/>
        <v>0</v>
      </c>
      <c r="G181" s="212"/>
      <c r="H181" s="1670"/>
      <c r="I181" s="1866"/>
    </row>
    <row r="182" spans="1:9" ht="15" customHeight="1" x14ac:dyDescent="0.2">
      <c r="A182" s="2040"/>
      <c r="B182" s="2036"/>
      <c r="C182" s="1001" t="str">
        <f>OF!C67</f>
        <v>50-500 m, and not separated.</v>
      </c>
      <c r="D182" s="655">
        <f>OF!D67</f>
        <v>0</v>
      </c>
      <c r="E182" s="211">
        <v>1</v>
      </c>
      <c r="F182" s="187">
        <f t="shared" si="8"/>
        <v>0</v>
      </c>
      <c r="G182" s="212"/>
      <c r="H182" s="1670"/>
      <c r="I182" s="1866"/>
    </row>
    <row r="183" spans="1:9" ht="15" customHeight="1" x14ac:dyDescent="0.2">
      <c r="A183" s="2040"/>
      <c r="B183" s="2036"/>
      <c r="C183" s="1001" t="str">
        <f>OF!C68</f>
        <v>50-500 m, but separated by those features.</v>
      </c>
      <c r="D183" s="655">
        <f>OF!D68</f>
        <v>0</v>
      </c>
      <c r="E183" s="211">
        <v>1</v>
      </c>
      <c r="F183" s="187">
        <f t="shared" si="8"/>
        <v>0</v>
      </c>
      <c r="G183" s="212"/>
      <c r="H183" s="1670"/>
      <c r="I183" s="1866"/>
    </row>
    <row r="184" spans="1:9" ht="15" customHeight="1" x14ac:dyDescent="0.2">
      <c r="A184" s="2040"/>
      <c r="B184" s="2036"/>
      <c r="C184" s="1001" t="str">
        <f>OF!C69</f>
        <v>0.5 - 1 km, and not separated.</v>
      </c>
      <c r="D184" s="655">
        <f>OF!D69</f>
        <v>0</v>
      </c>
      <c r="E184" s="211">
        <v>2</v>
      </c>
      <c r="F184" s="187">
        <f t="shared" si="8"/>
        <v>0</v>
      </c>
      <c r="G184" s="212"/>
      <c r="H184" s="1670"/>
      <c r="I184" s="1866"/>
    </row>
    <row r="185" spans="1:9" ht="15" customHeight="1" x14ac:dyDescent="0.2">
      <c r="A185" s="2040"/>
      <c r="B185" s="2036"/>
      <c r="C185" s="1001" t="str">
        <f>OF!C70</f>
        <v>0.5 - 1 km, but separated by those features.</v>
      </c>
      <c r="D185" s="655">
        <f>OF!D70</f>
        <v>0</v>
      </c>
      <c r="E185" s="211">
        <v>2</v>
      </c>
      <c r="F185" s="187">
        <f t="shared" si="8"/>
        <v>0</v>
      </c>
      <c r="G185" s="212"/>
      <c r="H185" s="1670"/>
      <c r="I185" s="1866"/>
    </row>
    <row r="186" spans="1:9" ht="18" customHeight="1" thickBot="1" x14ac:dyDescent="0.25">
      <c r="A186" s="2041"/>
      <c r="B186" s="2037"/>
      <c r="C186" s="1047" t="str">
        <f>OF!C71</f>
        <v>None of the above (the closest patches or corridors that large are &gt;1 km away).</v>
      </c>
      <c r="D186" s="1575">
        <f>OF!D71</f>
        <v>0</v>
      </c>
      <c r="E186" s="213">
        <v>4</v>
      </c>
      <c r="F186" s="190">
        <f t="shared" si="8"/>
        <v>0</v>
      </c>
      <c r="G186" s="214"/>
      <c r="H186" s="1671"/>
      <c r="I186" s="1866"/>
    </row>
    <row r="187" spans="1:9" ht="30" customHeight="1" thickBot="1" x14ac:dyDescent="0.25">
      <c r="A187" s="939" t="str">
        <f>OF!A139</f>
        <v>OF29</v>
      </c>
      <c r="B187" s="788" t="str">
        <f>OF!B139</f>
        <v>Species of Conservation Concern</v>
      </c>
      <c r="C187" s="660" t="str">
        <f>OF!C142</f>
        <v>Presence of one or more of the waterbird species (WBF, WBN) of conservation concern as listed in the Wildlife_Rare worksheet of the accompanying SuppInfo file.</v>
      </c>
      <c r="D187" s="1342">
        <f>OF!D142</f>
        <v>0</v>
      </c>
      <c r="E187" s="710"/>
      <c r="F187" s="711"/>
      <c r="G187" s="515">
        <f>D187</f>
        <v>0</v>
      </c>
      <c r="H187" s="283" t="s">
        <v>1316</v>
      </c>
      <c r="I187" s="894" t="s">
        <v>1046</v>
      </c>
    </row>
    <row r="188" spans="1:9" ht="53.25" customHeight="1" thickBot="1" x14ac:dyDescent="0.25">
      <c r="A188" s="108" t="str">
        <f>OF!A145</f>
        <v>OF30</v>
      </c>
      <c r="B188" s="92" t="str">
        <f>OF!B145</f>
        <v>Important Bird Area (IBA)</v>
      </c>
      <c r="C188" s="108" t="str">
        <f>OF!C145</f>
        <v xml:space="preserve">In Google Earth, open the KMZ file that accompanies this calculator, called IBAs_Canada.  The AA is all or part of an officially designated IBA. Enter 1= yes, 0= no. </v>
      </c>
      <c r="D188" s="686">
        <f>OF!D145</f>
        <v>0</v>
      </c>
      <c r="E188" s="710"/>
      <c r="F188" s="711"/>
      <c r="G188" s="515">
        <f>D188</f>
        <v>0</v>
      </c>
      <c r="H188" s="283" t="s">
        <v>2244</v>
      </c>
      <c r="I188" s="894" t="s">
        <v>1045</v>
      </c>
    </row>
    <row r="189" spans="1:9" ht="21" customHeight="1" thickBot="1" x14ac:dyDescent="0.25">
      <c r="A189" s="1841"/>
      <c r="B189" s="1841"/>
      <c r="C189" s="1841"/>
      <c r="D189" s="1841"/>
      <c r="E189" s="1841"/>
      <c r="F189" s="1841"/>
      <c r="G189" s="1841"/>
      <c r="H189" s="1841"/>
    </row>
    <row r="190" spans="1:9" ht="27" customHeight="1" x14ac:dyDescent="0.2">
      <c r="A190" s="1841"/>
      <c r="B190" s="1841"/>
      <c r="C190" s="1841"/>
      <c r="D190" s="2077" t="s">
        <v>157</v>
      </c>
      <c r="E190" s="2078"/>
      <c r="F190" s="2078"/>
      <c r="G190" s="916">
        <f>AVERAGE(ISOdry13, SatPct13,Fluctu13,MAX(SeasWpct13, PermWpct13), Depth13, DepthEven13)</f>
        <v>0</v>
      </c>
      <c r="H190" s="1029" t="s">
        <v>1144</v>
      </c>
      <c r="I190" s="1030" t="s">
        <v>2155</v>
      </c>
    </row>
    <row r="191" spans="1:9" ht="27" customHeight="1" x14ac:dyDescent="0.2">
      <c r="A191" s="1841"/>
      <c r="B191" s="1841"/>
      <c r="C191" s="1841"/>
      <c r="D191" s="2079" t="s">
        <v>121</v>
      </c>
      <c r="E191" s="2080"/>
      <c r="F191" s="2080"/>
      <c r="G191" s="917">
        <f>IF((NoPonded=1),"",AVERAGE(Interspers13, AVERAGE(AqPlantCov13,EmPct13,EmRobust13,SizeHerbac13,SnagB13,VwidthAbs13)))</f>
        <v>0</v>
      </c>
      <c r="H191" s="1016" t="s">
        <v>2372</v>
      </c>
      <c r="I191" s="1031" t="s">
        <v>2156</v>
      </c>
    </row>
    <row r="192" spans="1:9" ht="21" customHeight="1" x14ac:dyDescent="0.2">
      <c r="A192" s="1841"/>
      <c r="B192" s="1841"/>
      <c r="C192" s="1841"/>
      <c r="D192" s="2079" t="s">
        <v>149</v>
      </c>
      <c r="E192" s="2080"/>
      <c r="F192" s="2080"/>
      <c r="G192" s="917">
        <f>AVERAGE(Wettype13,Fringe13, Gradient13, Acidic13,ShoreSlope13,fISH13A, Island13)</f>
        <v>0.2</v>
      </c>
      <c r="H192" s="1016" t="s">
        <v>2192</v>
      </c>
      <c r="I192" s="1031" t="s">
        <v>2157</v>
      </c>
    </row>
    <row r="193" spans="1:9" ht="27" customHeight="1" x14ac:dyDescent="0.2">
      <c r="A193" s="1841"/>
      <c r="B193" s="1841"/>
      <c r="C193" s="1841"/>
      <c r="D193" s="2079" t="s">
        <v>192</v>
      </c>
      <c r="E193" s="2080"/>
      <c r="F193" s="2080"/>
      <c r="G193" s="917" t="str">
        <f>IF((Fen_ + Marsh=0), "", AVERAGE(Bduck13,Lacus13a,LakeProx13,Fringe13,Beaver13,PondProx13))</f>
        <v/>
      </c>
      <c r="H193" s="1016" t="s">
        <v>2468</v>
      </c>
      <c r="I193" s="1031" t="s">
        <v>2158</v>
      </c>
    </row>
    <row r="194" spans="1:9" ht="21" customHeight="1" x14ac:dyDescent="0.2">
      <c r="A194" s="1841"/>
      <c r="B194" s="1841"/>
      <c r="C194" s="1841"/>
      <c r="D194" s="2079" t="s">
        <v>1141</v>
      </c>
      <c r="E194" s="2080"/>
      <c r="F194" s="2080"/>
      <c r="G194" s="933">
        <f>AVERAGE(Core1_13,Core2_13, _BMP13, toxics13)</f>
        <v>0</v>
      </c>
      <c r="H194" s="1016" t="s">
        <v>2191</v>
      </c>
      <c r="I194" s="1031" t="s">
        <v>2159</v>
      </c>
    </row>
    <row r="195" spans="1:9" ht="21" customHeight="1" thickBot="1" x14ac:dyDescent="0.25">
      <c r="A195" s="1841"/>
      <c r="B195" s="1841"/>
      <c r="C195" s="1841"/>
      <c r="D195" s="2081" t="s">
        <v>118</v>
      </c>
      <c r="E195" s="2082"/>
      <c r="F195" s="2082"/>
      <c r="G195" s="918">
        <f>AVERAGE(BuffLUtype13, BuffNatPct13,RdDis13)</f>
        <v>0</v>
      </c>
      <c r="H195" s="1032" t="s">
        <v>2062</v>
      </c>
      <c r="I195" s="1033" t="s">
        <v>2160</v>
      </c>
    </row>
    <row r="196" spans="1:9" ht="21" customHeight="1" thickBot="1" x14ac:dyDescent="0.25">
      <c r="A196" s="1841"/>
      <c r="B196" s="1841"/>
      <c r="C196" s="1841"/>
      <c r="D196" s="2083"/>
      <c r="E196" s="2083"/>
      <c r="F196" s="2084"/>
      <c r="G196" s="2084"/>
      <c r="H196" s="2083"/>
    </row>
    <row r="197" spans="1:9" ht="45" customHeight="1" thickBot="1" x14ac:dyDescent="0.25">
      <c r="A197" s="1841"/>
      <c r="B197" s="1871"/>
      <c r="C197" s="1838" t="s">
        <v>57</v>
      </c>
      <c r="D197" s="1839"/>
      <c r="E197" s="1840"/>
      <c r="F197" s="915" t="s">
        <v>52</v>
      </c>
      <c r="G197" s="925">
        <f>IF((AllSat1&gt;0),0, IF((TooSteep13=1),0, IF((TooSmall=1),0, 10*(3*AVERAGE(AqPlantCov13, SizeHerbac13, Wettype13,Wscape) +2*AVERAGE(Hydro13,Struc13,Produc13) + AVERAGE(Stressors13,Lscape13))/6)))</f>
        <v>0.22222222222222221</v>
      </c>
      <c r="H197" s="1807" t="s">
        <v>2063</v>
      </c>
      <c r="I197" s="1808"/>
    </row>
    <row r="198" spans="1:9" ht="30" customHeight="1" thickBot="1" x14ac:dyDescent="0.25">
      <c r="A198" s="1841"/>
      <c r="B198" s="1871"/>
      <c r="C198" s="1838" t="s">
        <v>1915</v>
      </c>
      <c r="D198" s="1839"/>
      <c r="E198" s="1840"/>
      <c r="F198" s="915" t="s">
        <v>2223</v>
      </c>
      <c r="G198" s="926">
        <f>10*(IF((Rare13=1),1, IF(( _IBA13=1),1, MAX(DistPond13,HerbUniq13))))</f>
        <v>0</v>
      </c>
      <c r="H198" s="1807" t="s">
        <v>2459</v>
      </c>
      <c r="I198" s="1808"/>
    </row>
    <row r="199" spans="1:9" ht="21" customHeight="1" thickBot="1" x14ac:dyDescent="0.25">
      <c r="A199" s="21"/>
      <c r="B199" s="21"/>
      <c r="D199" s="21"/>
      <c r="E199" s="21"/>
      <c r="F199" s="21"/>
      <c r="G199" s="21"/>
      <c r="H199" s="6"/>
    </row>
    <row r="200" spans="1:9" ht="21" customHeight="1" thickBot="1" x14ac:dyDescent="0.25">
      <c r="A200" s="21"/>
      <c r="B200" s="21"/>
      <c r="D200" s="21"/>
      <c r="E200" s="21"/>
      <c r="F200" s="21"/>
      <c r="G200" s="21"/>
      <c r="H200" s="1913" t="s">
        <v>669</v>
      </c>
      <c r="I200" s="1914"/>
    </row>
    <row r="201" spans="1:9" ht="42" customHeight="1" x14ac:dyDescent="0.2">
      <c r="A201" s="21"/>
      <c r="B201" s="21"/>
      <c r="D201" s="21"/>
      <c r="E201" s="21"/>
      <c r="F201" s="21"/>
      <c r="G201" s="21"/>
      <c r="H201" s="2089" t="s">
        <v>1102</v>
      </c>
      <c r="I201" s="2090"/>
    </row>
    <row r="202" spans="1:9" ht="27" customHeight="1" x14ac:dyDescent="0.2">
      <c r="A202" s="21"/>
      <c r="B202" s="21"/>
      <c r="D202" s="21"/>
      <c r="E202" s="21"/>
      <c r="F202" s="21"/>
      <c r="G202" s="21"/>
      <c r="H202" s="1792" t="s">
        <v>858</v>
      </c>
      <c r="I202" s="1793"/>
    </row>
    <row r="203" spans="1:9" ht="27" customHeight="1" x14ac:dyDescent="0.2">
      <c r="A203" s="21"/>
      <c r="B203" s="21"/>
      <c r="D203" s="21"/>
      <c r="E203" s="21"/>
      <c r="F203" s="21"/>
      <c r="G203" s="21"/>
      <c r="H203" s="1792" t="s">
        <v>1031</v>
      </c>
      <c r="I203" s="1793"/>
    </row>
    <row r="204" spans="1:9" ht="42" customHeight="1" x14ac:dyDescent="0.2">
      <c r="A204" s="21"/>
      <c r="B204" s="21"/>
      <c r="D204" s="21"/>
      <c r="E204" s="21"/>
      <c r="F204" s="21"/>
      <c r="G204" s="21"/>
      <c r="H204" s="1792" t="s">
        <v>859</v>
      </c>
      <c r="I204" s="1793"/>
    </row>
    <row r="205" spans="1:9" ht="30.75" customHeight="1" x14ac:dyDescent="0.2">
      <c r="A205" s="21"/>
      <c r="B205" s="21"/>
      <c r="D205" s="21"/>
      <c r="E205" s="21"/>
      <c r="F205" s="21"/>
      <c r="G205" s="21"/>
      <c r="H205" s="1921" t="s">
        <v>2887</v>
      </c>
      <c r="I205" s="2038"/>
    </row>
    <row r="206" spans="1:9" ht="27" customHeight="1" x14ac:dyDescent="0.2">
      <c r="A206" s="21"/>
      <c r="B206" s="21"/>
      <c r="D206" s="21"/>
      <c r="E206" s="21"/>
      <c r="F206" s="21"/>
      <c r="G206" s="21"/>
      <c r="H206" s="1796" t="s">
        <v>1376</v>
      </c>
      <c r="I206" s="1797"/>
    </row>
    <row r="207" spans="1:9" ht="42" customHeight="1" x14ac:dyDescent="0.2">
      <c r="A207" s="21"/>
      <c r="B207" s="21"/>
      <c r="D207" s="21"/>
      <c r="E207" s="21"/>
      <c r="F207" s="21"/>
      <c r="G207" s="21"/>
      <c r="H207" s="1796" t="s">
        <v>1377</v>
      </c>
      <c r="I207" s="1797"/>
    </row>
    <row r="208" spans="1:9" ht="27" customHeight="1" x14ac:dyDescent="0.2">
      <c r="A208" s="21"/>
      <c r="B208" s="21"/>
      <c r="D208" s="21"/>
      <c r="E208" s="21"/>
      <c r="F208" s="21"/>
      <c r="G208" s="21"/>
      <c r="H208" s="1792" t="s">
        <v>1033</v>
      </c>
      <c r="I208" s="1793"/>
    </row>
    <row r="209" spans="1:9" ht="27" customHeight="1" x14ac:dyDescent="0.2">
      <c r="A209" s="21"/>
      <c r="B209" s="21"/>
      <c r="D209" s="21"/>
      <c r="E209" s="21"/>
      <c r="F209" s="21"/>
      <c r="G209" s="21"/>
      <c r="H209" s="1792" t="s">
        <v>861</v>
      </c>
      <c r="I209" s="1793"/>
    </row>
    <row r="210" spans="1:9" ht="27" customHeight="1" x14ac:dyDescent="0.2">
      <c r="A210" s="21"/>
      <c r="B210" s="21"/>
      <c r="D210" s="21"/>
      <c r="E210" s="21"/>
      <c r="F210" s="21"/>
      <c r="G210" s="21"/>
      <c r="H210" s="1921" t="s">
        <v>1106</v>
      </c>
      <c r="I210" s="2038"/>
    </row>
    <row r="211" spans="1:9" s="699" customFormat="1" ht="42" customHeight="1" x14ac:dyDescent="0.2">
      <c r="A211" s="2"/>
      <c r="B211" s="2"/>
      <c r="C211" s="6"/>
      <c r="D211" s="395"/>
      <c r="E211" s="395"/>
      <c r="F211" s="185"/>
      <c r="G211" s="457"/>
      <c r="H211" s="1792" t="s">
        <v>1752</v>
      </c>
      <c r="I211" s="1793"/>
    </row>
    <row r="212" spans="1:9" s="699" customFormat="1" ht="27" customHeight="1" x14ac:dyDescent="0.2">
      <c r="A212" s="2"/>
      <c r="B212" s="2"/>
      <c r="C212" s="6"/>
      <c r="D212" s="395"/>
      <c r="E212" s="395"/>
      <c r="F212" s="185"/>
      <c r="G212" s="457"/>
      <c r="H212" s="1796" t="s">
        <v>2044</v>
      </c>
      <c r="I212" s="1797"/>
    </row>
    <row r="213" spans="1:9" s="699" customFormat="1" ht="27" customHeight="1" x14ac:dyDescent="0.2">
      <c r="A213" s="5"/>
      <c r="B213" s="5"/>
      <c r="C213" s="2"/>
      <c r="D213" s="185"/>
      <c r="E213" s="185"/>
      <c r="F213" s="185"/>
      <c r="G213" s="457"/>
      <c r="H213" s="1796" t="s">
        <v>2043</v>
      </c>
      <c r="I213" s="1797"/>
    </row>
    <row r="214" spans="1:9" ht="27" customHeight="1" x14ac:dyDescent="0.2">
      <c r="A214" s="21"/>
      <c r="B214" s="21"/>
      <c r="D214" s="21"/>
      <c r="E214" s="21"/>
      <c r="F214" s="21"/>
      <c r="G214" s="21"/>
      <c r="H214" s="1796" t="s">
        <v>1378</v>
      </c>
      <c r="I214" s="1797"/>
    </row>
    <row r="215" spans="1:9" ht="27" customHeight="1" x14ac:dyDescent="0.2">
      <c r="A215" s="21"/>
      <c r="B215" s="21"/>
      <c r="D215" s="21"/>
      <c r="E215" s="21"/>
      <c r="F215" s="21"/>
      <c r="G215" s="21"/>
      <c r="H215" s="1796" t="s">
        <v>1379</v>
      </c>
      <c r="I215" s="1797"/>
    </row>
    <row r="216" spans="1:9" ht="27" customHeight="1" x14ac:dyDescent="0.2">
      <c r="A216" s="21"/>
      <c r="B216" s="21"/>
      <c r="D216" s="21"/>
      <c r="E216" s="21"/>
      <c r="F216" s="21"/>
      <c r="G216" s="21"/>
      <c r="H216" s="2087" t="s">
        <v>1103</v>
      </c>
      <c r="I216" s="2088"/>
    </row>
    <row r="217" spans="1:9" ht="42" customHeight="1" x14ac:dyDescent="0.2">
      <c r="A217" s="21"/>
      <c r="B217" s="21"/>
      <c r="D217" s="21"/>
      <c r="E217" s="21"/>
      <c r="F217" s="21"/>
      <c r="G217" s="21"/>
      <c r="H217" s="1796" t="s">
        <v>1104</v>
      </c>
      <c r="I217" s="1797"/>
    </row>
    <row r="218" spans="1:9" ht="42" customHeight="1" x14ac:dyDescent="0.2">
      <c r="A218" s="21"/>
      <c r="B218" s="21"/>
      <c r="D218" s="21"/>
      <c r="E218" s="21"/>
      <c r="F218" s="21"/>
      <c r="G218" s="21"/>
      <c r="H218" s="1796" t="s">
        <v>1411</v>
      </c>
      <c r="I218" s="1797"/>
    </row>
    <row r="219" spans="1:9" s="699" customFormat="1" ht="27" customHeight="1" thickBot="1" x14ac:dyDescent="0.25">
      <c r="A219" s="2"/>
      <c r="B219" s="2"/>
      <c r="C219" s="6" t="s">
        <v>912</v>
      </c>
      <c r="D219" s="395"/>
      <c r="E219" s="395"/>
      <c r="F219" s="185"/>
      <c r="G219" s="457"/>
      <c r="H219" s="2013" t="s">
        <v>2045</v>
      </c>
      <c r="I219" s="2014"/>
    </row>
    <row r="220" spans="1:9" s="699" customFormat="1" x14ac:dyDescent="0.2">
      <c r="A220" s="2"/>
      <c r="B220" s="2"/>
      <c r="C220" s="6"/>
      <c r="D220" s="395"/>
      <c r="E220" s="395"/>
      <c r="F220" s="185"/>
      <c r="G220" s="457"/>
      <c r="H220" s="10"/>
      <c r="I220" s="5"/>
    </row>
    <row r="221" spans="1:9" s="699" customFormat="1" x14ac:dyDescent="0.2">
      <c r="A221" s="2"/>
      <c r="B221" s="2"/>
      <c r="C221" s="6"/>
      <c r="D221" s="395"/>
      <c r="E221" s="395"/>
      <c r="F221" s="185"/>
      <c r="G221" s="457"/>
      <c r="H221" s="10"/>
      <c r="I221" s="5"/>
    </row>
    <row r="222" spans="1:9" x14ac:dyDescent="0.2">
      <c r="A222" s="21"/>
      <c r="B222" s="21"/>
      <c r="C222" s="27"/>
      <c r="D222" s="48"/>
      <c r="E222" s="48"/>
    </row>
    <row r="223" spans="1:9" x14ac:dyDescent="0.2">
      <c r="A223" s="21"/>
      <c r="B223" s="21"/>
      <c r="C223" s="27"/>
      <c r="D223" s="48"/>
      <c r="E223" s="48"/>
    </row>
    <row r="224" spans="1:9" x14ac:dyDescent="0.2">
      <c r="A224" s="21"/>
      <c r="B224" s="21"/>
      <c r="C224" s="27"/>
      <c r="D224" s="48"/>
      <c r="E224" s="48"/>
    </row>
    <row r="225" spans="1:5" x14ac:dyDescent="0.2">
      <c r="A225" s="21"/>
      <c r="B225" s="21"/>
      <c r="C225" s="27"/>
      <c r="D225" s="48"/>
      <c r="E225" s="48"/>
    </row>
    <row r="226" spans="1:5" x14ac:dyDescent="0.2">
      <c r="A226" s="21"/>
      <c r="B226" s="21"/>
      <c r="C226" s="27"/>
      <c r="D226" s="48"/>
      <c r="E226" s="48"/>
    </row>
    <row r="227" spans="1:5" x14ac:dyDescent="0.2">
      <c r="A227" s="21"/>
      <c r="B227" s="21"/>
      <c r="C227" s="27"/>
      <c r="D227" s="48"/>
      <c r="E227" s="48"/>
    </row>
    <row r="228" spans="1:5" x14ac:dyDescent="0.2">
      <c r="A228" s="21"/>
      <c r="B228" s="21"/>
      <c r="C228" s="27"/>
      <c r="D228" s="48"/>
      <c r="E228" s="48"/>
    </row>
    <row r="229" spans="1:5" x14ac:dyDescent="0.2">
      <c r="A229" s="21"/>
      <c r="B229" s="21"/>
      <c r="C229" s="27"/>
      <c r="D229" s="48"/>
      <c r="E229" s="48"/>
    </row>
    <row r="230" spans="1:5" x14ac:dyDescent="0.2">
      <c r="A230" s="21"/>
      <c r="B230" s="21"/>
      <c r="C230" s="27"/>
      <c r="D230" s="48"/>
      <c r="E230" s="48"/>
    </row>
    <row r="231" spans="1:5" x14ac:dyDescent="0.2">
      <c r="A231" s="21"/>
      <c r="B231" s="21"/>
      <c r="C231" s="27"/>
      <c r="D231" s="48"/>
      <c r="E231" s="48"/>
    </row>
    <row r="232" spans="1:5" x14ac:dyDescent="0.2">
      <c r="A232" s="21"/>
      <c r="B232" s="21"/>
      <c r="C232" s="27"/>
      <c r="D232" s="48"/>
      <c r="E232" s="48"/>
    </row>
    <row r="233" spans="1:5" x14ac:dyDescent="0.2">
      <c r="A233" s="21"/>
      <c r="B233" s="21"/>
      <c r="C233" s="27"/>
      <c r="D233" s="48"/>
      <c r="E233" s="48"/>
    </row>
    <row r="234" spans="1:5" x14ac:dyDescent="0.2">
      <c r="A234" s="21"/>
      <c r="B234" s="21"/>
      <c r="C234" s="27"/>
      <c r="D234" s="48"/>
      <c r="E234" s="48"/>
    </row>
    <row r="235" spans="1:5" x14ac:dyDescent="0.2">
      <c r="A235" s="21"/>
      <c r="B235" s="21"/>
      <c r="C235" s="27"/>
      <c r="D235" s="48"/>
      <c r="E235" s="48"/>
    </row>
    <row r="236" spans="1:5" x14ac:dyDescent="0.2">
      <c r="A236" s="21"/>
      <c r="B236" s="21"/>
      <c r="C236" s="27"/>
      <c r="D236" s="48"/>
      <c r="E236" s="48"/>
    </row>
    <row r="237" spans="1:5" x14ac:dyDescent="0.2">
      <c r="A237" s="21"/>
      <c r="B237" s="21"/>
      <c r="C237" s="27"/>
      <c r="D237" s="48"/>
      <c r="E237" s="48"/>
    </row>
    <row r="238" spans="1:5" x14ac:dyDescent="0.2">
      <c r="A238" s="21"/>
      <c r="B238" s="21"/>
      <c r="C238" s="27"/>
      <c r="D238" s="48"/>
      <c r="E238" s="48"/>
    </row>
    <row r="239" spans="1:5" x14ac:dyDescent="0.2">
      <c r="A239" s="21"/>
      <c r="B239" s="21"/>
      <c r="C239" s="27"/>
      <c r="D239" s="48"/>
      <c r="E239" s="48"/>
    </row>
    <row r="240" spans="1:5" x14ac:dyDescent="0.2">
      <c r="A240" s="21"/>
      <c r="B240" s="21"/>
      <c r="C240" s="27"/>
      <c r="D240" s="48"/>
      <c r="E240" s="48"/>
    </row>
    <row r="241" spans="1:5" x14ac:dyDescent="0.2">
      <c r="A241" s="21"/>
      <c r="B241" s="21"/>
      <c r="C241" s="27"/>
      <c r="D241" s="48"/>
      <c r="E241" s="48"/>
    </row>
    <row r="242" spans="1:5" x14ac:dyDescent="0.2">
      <c r="A242" s="21"/>
      <c r="B242" s="21"/>
      <c r="C242" s="27"/>
      <c r="D242" s="48"/>
      <c r="E242" s="48"/>
    </row>
    <row r="243" spans="1:5" x14ac:dyDescent="0.2">
      <c r="A243" s="21"/>
      <c r="B243" s="21"/>
      <c r="C243" s="27"/>
      <c r="D243" s="48"/>
      <c r="E243" s="48"/>
    </row>
    <row r="244" spans="1:5" x14ac:dyDescent="0.2">
      <c r="A244" s="21"/>
      <c r="B244" s="21"/>
      <c r="C244" s="27"/>
      <c r="D244" s="48"/>
      <c r="E244" s="48"/>
    </row>
    <row r="245" spans="1:5" x14ac:dyDescent="0.2">
      <c r="A245" s="21"/>
      <c r="B245" s="21"/>
      <c r="C245" s="27"/>
      <c r="D245" s="48"/>
      <c r="E245" s="48"/>
    </row>
    <row r="246" spans="1:5" x14ac:dyDescent="0.2">
      <c r="A246" s="21"/>
      <c r="B246" s="21"/>
      <c r="C246" s="27"/>
      <c r="D246" s="48"/>
      <c r="E246" s="48"/>
    </row>
    <row r="247" spans="1:5" x14ac:dyDescent="0.2">
      <c r="A247" s="21"/>
      <c r="B247" s="21"/>
      <c r="C247" s="27"/>
      <c r="D247" s="48"/>
      <c r="E247" s="48"/>
    </row>
    <row r="248" spans="1:5" x14ac:dyDescent="0.2">
      <c r="A248" s="21"/>
      <c r="B248" s="21"/>
      <c r="C248" s="27"/>
      <c r="D248" s="48"/>
      <c r="E248" s="48"/>
    </row>
    <row r="249" spans="1:5" x14ac:dyDescent="0.2">
      <c r="A249" s="21"/>
      <c r="B249" s="21"/>
      <c r="C249" s="27"/>
      <c r="D249" s="48"/>
      <c r="E249" s="48"/>
    </row>
    <row r="250" spans="1:5" x14ac:dyDescent="0.2">
      <c r="A250" s="21"/>
      <c r="B250" s="21"/>
      <c r="C250" s="27"/>
      <c r="D250" s="48"/>
      <c r="E250" s="48"/>
    </row>
    <row r="251" spans="1:5" x14ac:dyDescent="0.2">
      <c r="A251" s="21"/>
      <c r="B251" s="21"/>
      <c r="C251" s="27"/>
      <c r="D251" s="48"/>
      <c r="E251" s="48"/>
    </row>
    <row r="252" spans="1:5" x14ac:dyDescent="0.2">
      <c r="A252" s="21"/>
      <c r="B252" s="21"/>
      <c r="C252" s="27"/>
      <c r="D252" s="48"/>
      <c r="E252" s="48"/>
    </row>
    <row r="253" spans="1:5" x14ac:dyDescent="0.2">
      <c r="A253" s="21"/>
      <c r="B253" s="21"/>
      <c r="C253" s="27"/>
      <c r="D253" s="48"/>
      <c r="E253" s="48"/>
    </row>
    <row r="254" spans="1:5" x14ac:dyDescent="0.2">
      <c r="A254" s="21"/>
      <c r="B254" s="21"/>
      <c r="C254" s="27"/>
      <c r="D254" s="48"/>
      <c r="E254" s="48"/>
    </row>
    <row r="255" spans="1:5" x14ac:dyDescent="0.2">
      <c r="A255" s="21"/>
      <c r="B255" s="21"/>
      <c r="C255" s="27"/>
      <c r="D255" s="48"/>
      <c r="E255" s="48"/>
    </row>
    <row r="256" spans="1:5" x14ac:dyDescent="0.2">
      <c r="A256" s="21"/>
      <c r="B256" s="21"/>
      <c r="C256" s="27"/>
      <c r="D256" s="48"/>
      <c r="E256" s="48"/>
    </row>
    <row r="257" spans="1:5" x14ac:dyDescent="0.2">
      <c r="A257" s="21"/>
      <c r="B257" s="21"/>
      <c r="C257" s="27"/>
      <c r="D257" s="48"/>
      <c r="E257" s="48"/>
    </row>
    <row r="258" spans="1:5" x14ac:dyDescent="0.2">
      <c r="A258" s="21"/>
      <c r="B258" s="21"/>
      <c r="C258" s="27"/>
      <c r="D258" s="48"/>
      <c r="E258" s="48"/>
    </row>
    <row r="259" spans="1:5" x14ac:dyDescent="0.2">
      <c r="A259" s="21"/>
      <c r="B259" s="21"/>
      <c r="C259" s="27"/>
      <c r="D259" s="48"/>
      <c r="E259" s="48"/>
    </row>
    <row r="260" spans="1:5" x14ac:dyDescent="0.2">
      <c r="A260" s="21"/>
      <c r="B260" s="21"/>
      <c r="C260" s="27"/>
      <c r="D260" s="48"/>
      <c r="E260" s="48"/>
    </row>
    <row r="261" spans="1:5" x14ac:dyDescent="0.2">
      <c r="A261" s="21"/>
      <c r="B261" s="21"/>
      <c r="C261" s="27"/>
      <c r="D261" s="48"/>
      <c r="E261" s="48"/>
    </row>
    <row r="262" spans="1:5" x14ac:dyDescent="0.2">
      <c r="A262" s="21"/>
      <c r="B262" s="21"/>
      <c r="C262" s="27"/>
      <c r="D262" s="48"/>
      <c r="E262" s="48"/>
    </row>
    <row r="263" spans="1:5" x14ac:dyDescent="0.2">
      <c r="A263" s="21"/>
      <c r="B263" s="21"/>
      <c r="C263" s="27"/>
      <c r="D263" s="48"/>
      <c r="E263" s="48"/>
    </row>
    <row r="264" spans="1:5" x14ac:dyDescent="0.2">
      <c r="A264" s="21"/>
      <c r="B264" s="21"/>
      <c r="C264" s="27"/>
      <c r="D264" s="48"/>
      <c r="E264" s="48"/>
    </row>
    <row r="265" spans="1:5" x14ac:dyDescent="0.2">
      <c r="A265" s="21"/>
      <c r="B265" s="21"/>
      <c r="C265" s="27"/>
      <c r="D265" s="48"/>
      <c r="E265" s="48"/>
    </row>
    <row r="266" spans="1:5" x14ac:dyDescent="0.2">
      <c r="A266" s="21"/>
      <c r="B266" s="21"/>
      <c r="C266" s="27"/>
      <c r="D266" s="48"/>
      <c r="E266" s="48"/>
    </row>
    <row r="267" spans="1:5" x14ac:dyDescent="0.2">
      <c r="A267" s="21"/>
      <c r="B267" s="21"/>
      <c r="C267" s="27"/>
      <c r="D267" s="48"/>
      <c r="E267" s="48"/>
    </row>
    <row r="268" spans="1:5" x14ac:dyDescent="0.2">
      <c r="A268" s="21"/>
      <c r="B268" s="21"/>
      <c r="C268" s="27"/>
      <c r="D268" s="48"/>
      <c r="E268" s="48"/>
    </row>
    <row r="269" spans="1:5" x14ac:dyDescent="0.2">
      <c r="A269" s="21"/>
      <c r="B269" s="21"/>
      <c r="C269" s="27"/>
      <c r="D269" s="48"/>
      <c r="E269" s="48"/>
    </row>
    <row r="270" spans="1:5" x14ac:dyDescent="0.2">
      <c r="A270" s="21"/>
      <c r="B270" s="21"/>
      <c r="C270" s="27"/>
      <c r="D270" s="48"/>
      <c r="E270" s="48"/>
    </row>
    <row r="271" spans="1:5" x14ac:dyDescent="0.2">
      <c r="A271" s="21"/>
      <c r="B271" s="21"/>
      <c r="C271" s="27"/>
      <c r="D271" s="48"/>
      <c r="E271" s="48"/>
    </row>
    <row r="272" spans="1:5" x14ac:dyDescent="0.2">
      <c r="A272" s="21"/>
      <c r="B272" s="21"/>
      <c r="C272" s="27"/>
      <c r="D272" s="48"/>
      <c r="E272" s="48"/>
    </row>
    <row r="273" spans="1:5" x14ac:dyDescent="0.2">
      <c r="A273" s="21"/>
      <c r="B273" s="21"/>
      <c r="C273" s="27"/>
      <c r="D273" s="48"/>
      <c r="E273" s="48"/>
    </row>
    <row r="274" spans="1:5" x14ac:dyDescent="0.2">
      <c r="A274" s="21"/>
      <c r="B274" s="21"/>
      <c r="C274" s="27"/>
      <c r="D274" s="48"/>
      <c r="E274" s="48"/>
    </row>
    <row r="275" spans="1:5" x14ac:dyDescent="0.2">
      <c r="A275" s="21"/>
      <c r="B275" s="21"/>
      <c r="C275" s="27"/>
      <c r="D275" s="48"/>
      <c r="E275" s="48"/>
    </row>
    <row r="276" spans="1:5" x14ac:dyDescent="0.2">
      <c r="A276" s="21"/>
      <c r="B276" s="21"/>
      <c r="C276" s="27"/>
      <c r="D276" s="48"/>
      <c r="E276" s="48"/>
    </row>
    <row r="277" spans="1:5" x14ac:dyDescent="0.2">
      <c r="A277" s="21"/>
      <c r="B277" s="21"/>
      <c r="C277" s="27"/>
      <c r="D277" s="48"/>
      <c r="E277" s="48"/>
    </row>
    <row r="278" spans="1:5" x14ac:dyDescent="0.2">
      <c r="A278" s="21"/>
      <c r="B278" s="21"/>
      <c r="C278" s="27"/>
      <c r="D278" s="48"/>
      <c r="E278" s="48"/>
    </row>
    <row r="279" spans="1:5" x14ac:dyDescent="0.2">
      <c r="A279" s="21"/>
      <c r="B279" s="21"/>
      <c r="C279" s="27"/>
      <c r="D279" s="48"/>
      <c r="E279" s="48"/>
    </row>
    <row r="280" spans="1:5" x14ac:dyDescent="0.2">
      <c r="A280" s="21"/>
      <c r="B280" s="21"/>
      <c r="C280" s="27"/>
      <c r="D280" s="48"/>
      <c r="E280" s="48"/>
    </row>
    <row r="281" spans="1:5" x14ac:dyDescent="0.2">
      <c r="A281" s="21"/>
      <c r="B281" s="21"/>
      <c r="C281" s="27"/>
      <c r="D281" s="48"/>
      <c r="E281" s="48"/>
    </row>
    <row r="282" spans="1:5" x14ac:dyDescent="0.2">
      <c r="A282" s="21"/>
      <c r="B282" s="21"/>
      <c r="C282" s="27"/>
      <c r="D282" s="48"/>
      <c r="E282" s="48"/>
    </row>
    <row r="283" spans="1:5" x14ac:dyDescent="0.2">
      <c r="A283" s="21"/>
      <c r="B283" s="21"/>
      <c r="C283" s="27"/>
      <c r="D283" s="48"/>
      <c r="E283" s="48"/>
    </row>
    <row r="284" spans="1:5" x14ac:dyDescent="0.2">
      <c r="A284" s="21"/>
      <c r="B284" s="21"/>
      <c r="C284" s="27"/>
      <c r="D284" s="48"/>
      <c r="E284" s="48"/>
    </row>
    <row r="285" spans="1:5" x14ac:dyDescent="0.2">
      <c r="A285" s="21"/>
      <c r="B285" s="21"/>
      <c r="C285" s="27"/>
      <c r="D285" s="48"/>
      <c r="E285" s="48"/>
    </row>
    <row r="286" spans="1:5" x14ac:dyDescent="0.2">
      <c r="A286" s="21"/>
      <c r="B286" s="21"/>
      <c r="C286" s="27"/>
      <c r="D286" s="48"/>
      <c r="E286" s="48"/>
    </row>
    <row r="287" spans="1:5" x14ac:dyDescent="0.2">
      <c r="A287" s="21"/>
      <c r="B287" s="21"/>
      <c r="C287" s="27"/>
      <c r="D287" s="48"/>
      <c r="E287" s="48"/>
    </row>
    <row r="288" spans="1:5" x14ac:dyDescent="0.2">
      <c r="A288" s="21"/>
      <c r="B288" s="21"/>
      <c r="C288" s="27"/>
      <c r="D288" s="48"/>
      <c r="E288" s="48"/>
    </row>
    <row r="289" spans="1:5" x14ac:dyDescent="0.2">
      <c r="A289" s="21"/>
      <c r="B289" s="21"/>
      <c r="C289" s="27"/>
      <c r="D289" s="48"/>
      <c r="E289" s="48"/>
    </row>
    <row r="290" spans="1:5" x14ac:dyDescent="0.2">
      <c r="A290" s="21"/>
      <c r="B290" s="21"/>
      <c r="C290" s="27"/>
      <c r="D290" s="48"/>
      <c r="E290" s="48"/>
    </row>
    <row r="291" spans="1:5" x14ac:dyDescent="0.2">
      <c r="A291" s="21"/>
      <c r="B291" s="21"/>
      <c r="C291" s="27"/>
      <c r="D291" s="48"/>
      <c r="E291" s="48"/>
    </row>
    <row r="292" spans="1:5" x14ac:dyDescent="0.2">
      <c r="A292" s="21"/>
      <c r="B292" s="21"/>
      <c r="C292" s="27"/>
      <c r="D292" s="48"/>
      <c r="E292" s="48"/>
    </row>
    <row r="293" spans="1:5" x14ac:dyDescent="0.2">
      <c r="A293" s="21"/>
      <c r="B293" s="21"/>
      <c r="C293" s="27"/>
      <c r="D293" s="48"/>
      <c r="E293" s="48"/>
    </row>
    <row r="294" spans="1:5" x14ac:dyDescent="0.2">
      <c r="A294" s="21"/>
      <c r="B294" s="21"/>
      <c r="C294" s="27"/>
      <c r="D294" s="48"/>
      <c r="E294" s="48"/>
    </row>
    <row r="295" spans="1:5" x14ac:dyDescent="0.2">
      <c r="A295" s="21"/>
      <c r="B295" s="21"/>
      <c r="C295" s="27"/>
      <c r="D295" s="48"/>
      <c r="E295" s="48"/>
    </row>
    <row r="296" spans="1:5" x14ac:dyDescent="0.2">
      <c r="A296" s="21"/>
      <c r="B296" s="21"/>
      <c r="C296" s="27"/>
      <c r="D296" s="48"/>
      <c r="E296" s="48"/>
    </row>
    <row r="297" spans="1:5" x14ac:dyDescent="0.2">
      <c r="A297" s="21"/>
      <c r="B297" s="21"/>
      <c r="C297" s="27"/>
      <c r="D297" s="48"/>
      <c r="E297" s="48"/>
    </row>
    <row r="298" spans="1:5" x14ac:dyDescent="0.2">
      <c r="A298" s="21"/>
      <c r="B298" s="21"/>
      <c r="C298" s="27"/>
      <c r="D298" s="48"/>
      <c r="E298" s="48"/>
    </row>
    <row r="299" spans="1:5" x14ac:dyDescent="0.2">
      <c r="A299" s="21"/>
      <c r="B299" s="21"/>
      <c r="C299" s="27"/>
      <c r="D299" s="48"/>
      <c r="E299" s="48"/>
    </row>
    <row r="300" spans="1:5" x14ac:dyDescent="0.2">
      <c r="A300" s="21"/>
      <c r="B300" s="21"/>
      <c r="C300" s="27"/>
      <c r="D300" s="48"/>
      <c r="E300" s="48"/>
    </row>
    <row r="301" spans="1:5" x14ac:dyDescent="0.2">
      <c r="A301" s="21"/>
      <c r="B301" s="21"/>
      <c r="C301" s="27"/>
      <c r="D301" s="48"/>
      <c r="E301" s="48"/>
    </row>
    <row r="302" spans="1:5" x14ac:dyDescent="0.2">
      <c r="A302" s="21"/>
      <c r="B302" s="21"/>
      <c r="C302" s="27"/>
      <c r="D302" s="48"/>
      <c r="E302" s="48"/>
    </row>
    <row r="303" spans="1:5" x14ac:dyDescent="0.2">
      <c r="A303" s="21"/>
      <c r="B303" s="21"/>
      <c r="C303" s="27"/>
      <c r="D303" s="48"/>
      <c r="E303" s="48"/>
    </row>
    <row r="304" spans="1:5" x14ac:dyDescent="0.2">
      <c r="A304" s="21"/>
      <c r="B304" s="21"/>
      <c r="C304" s="27"/>
      <c r="D304" s="48"/>
      <c r="E304" s="48"/>
    </row>
    <row r="305" spans="1:5" x14ac:dyDescent="0.2">
      <c r="A305" s="21"/>
      <c r="B305" s="21"/>
      <c r="C305" s="27"/>
      <c r="D305" s="48"/>
      <c r="E305" s="48"/>
    </row>
    <row r="306" spans="1:5" x14ac:dyDescent="0.2">
      <c r="A306" s="21"/>
      <c r="B306" s="21"/>
      <c r="C306" s="27"/>
      <c r="D306" s="48"/>
      <c r="E306" s="48"/>
    </row>
    <row r="307" spans="1:5" x14ac:dyDescent="0.2">
      <c r="A307" s="21"/>
      <c r="B307" s="21"/>
      <c r="C307" s="27"/>
      <c r="D307" s="48"/>
      <c r="E307" s="48"/>
    </row>
    <row r="308" spans="1:5" x14ac:dyDescent="0.2">
      <c r="A308" s="21"/>
      <c r="B308" s="21"/>
      <c r="C308" s="27"/>
      <c r="D308" s="48"/>
      <c r="E308" s="48"/>
    </row>
    <row r="309" spans="1:5" x14ac:dyDescent="0.2">
      <c r="A309" s="21"/>
      <c r="B309" s="21"/>
      <c r="C309" s="27"/>
      <c r="D309" s="48"/>
      <c r="E309" s="48"/>
    </row>
    <row r="310" spans="1:5" x14ac:dyDescent="0.2">
      <c r="A310" s="21"/>
      <c r="B310" s="21"/>
      <c r="C310" s="27"/>
      <c r="D310" s="48"/>
      <c r="E310" s="48"/>
    </row>
    <row r="311" spans="1:5" x14ac:dyDescent="0.2">
      <c r="A311" s="21"/>
      <c r="B311" s="21"/>
      <c r="C311" s="27"/>
      <c r="D311" s="48"/>
      <c r="E311" s="48"/>
    </row>
    <row r="312" spans="1:5" x14ac:dyDescent="0.2">
      <c r="A312" s="21"/>
      <c r="B312" s="21"/>
      <c r="C312" s="27"/>
      <c r="D312" s="48"/>
      <c r="E312" s="48"/>
    </row>
    <row r="313" spans="1:5" x14ac:dyDescent="0.2">
      <c r="A313" s="21"/>
      <c r="B313" s="21"/>
      <c r="C313" s="27"/>
      <c r="D313" s="48"/>
      <c r="E313" s="48"/>
    </row>
    <row r="314" spans="1:5" x14ac:dyDescent="0.2">
      <c r="A314" s="21"/>
      <c r="B314" s="21"/>
      <c r="C314" s="27"/>
      <c r="D314" s="48"/>
      <c r="E314" s="48"/>
    </row>
    <row r="315" spans="1:5" x14ac:dyDescent="0.2">
      <c r="A315" s="21"/>
      <c r="B315" s="21"/>
      <c r="C315" s="27"/>
      <c r="D315" s="48"/>
      <c r="E315" s="48"/>
    </row>
    <row r="316" spans="1:5" x14ac:dyDescent="0.2">
      <c r="A316" s="21"/>
      <c r="B316" s="21"/>
      <c r="C316" s="27"/>
      <c r="D316" s="48"/>
      <c r="E316" s="48"/>
    </row>
    <row r="317" spans="1:5" x14ac:dyDescent="0.2">
      <c r="A317" s="21"/>
      <c r="B317" s="21"/>
      <c r="C317" s="27"/>
      <c r="D317" s="48"/>
      <c r="E317" s="48"/>
    </row>
    <row r="318" spans="1:5" x14ac:dyDescent="0.2">
      <c r="A318" s="21"/>
      <c r="B318" s="21"/>
      <c r="C318" s="27"/>
      <c r="D318" s="48"/>
      <c r="E318" s="48"/>
    </row>
    <row r="319" spans="1:5" x14ac:dyDescent="0.2">
      <c r="A319" s="21"/>
      <c r="B319" s="21"/>
      <c r="C319" s="27"/>
      <c r="D319" s="48"/>
      <c r="E319" s="48"/>
    </row>
    <row r="320" spans="1:5" x14ac:dyDescent="0.2">
      <c r="A320" s="21"/>
      <c r="B320" s="21"/>
      <c r="C320" s="27"/>
      <c r="D320" s="48"/>
      <c r="E320" s="48"/>
    </row>
    <row r="321" spans="1:5" x14ac:dyDescent="0.2">
      <c r="A321" s="21"/>
      <c r="B321" s="21"/>
      <c r="C321" s="27"/>
      <c r="D321" s="48"/>
      <c r="E321" s="48"/>
    </row>
    <row r="322" spans="1:5" x14ac:dyDescent="0.2">
      <c r="A322" s="21"/>
      <c r="B322" s="21"/>
      <c r="C322" s="27"/>
      <c r="D322" s="48"/>
      <c r="E322" s="48"/>
    </row>
    <row r="323" spans="1:5" x14ac:dyDescent="0.2">
      <c r="A323" s="21"/>
      <c r="B323" s="21"/>
      <c r="C323" s="27"/>
      <c r="D323" s="48"/>
      <c r="E323" s="48"/>
    </row>
    <row r="324" spans="1:5" x14ac:dyDescent="0.2">
      <c r="A324" s="21"/>
      <c r="B324" s="21"/>
      <c r="C324" s="27"/>
      <c r="D324" s="48"/>
      <c r="E324" s="48"/>
    </row>
    <row r="325" spans="1:5" x14ac:dyDescent="0.2">
      <c r="A325" s="21"/>
      <c r="B325" s="21"/>
      <c r="C325" s="27"/>
      <c r="D325" s="48"/>
      <c r="E325" s="48"/>
    </row>
    <row r="326" spans="1:5" x14ac:dyDescent="0.2">
      <c r="A326" s="21"/>
      <c r="B326" s="21"/>
      <c r="C326" s="27"/>
      <c r="D326" s="48"/>
      <c r="E326" s="48"/>
    </row>
    <row r="327" spans="1:5" x14ac:dyDescent="0.2">
      <c r="A327" s="21"/>
      <c r="B327" s="21"/>
      <c r="C327" s="27"/>
      <c r="D327" s="48"/>
      <c r="E327" s="48"/>
    </row>
    <row r="328" spans="1:5" x14ac:dyDescent="0.2">
      <c r="A328" s="21"/>
      <c r="B328" s="21"/>
      <c r="C328" s="27"/>
      <c r="D328" s="48"/>
      <c r="E328" s="48"/>
    </row>
    <row r="329" spans="1:5" x14ac:dyDescent="0.2">
      <c r="A329" s="21"/>
      <c r="B329" s="21"/>
      <c r="C329" s="27"/>
      <c r="D329" s="48"/>
      <c r="E329" s="48"/>
    </row>
    <row r="330" spans="1:5" x14ac:dyDescent="0.2">
      <c r="A330" s="21"/>
      <c r="B330" s="21"/>
      <c r="C330" s="27"/>
      <c r="D330" s="48"/>
      <c r="E330" s="48"/>
    </row>
    <row r="331" spans="1:5" x14ac:dyDescent="0.2">
      <c r="A331" s="21"/>
      <c r="B331" s="21"/>
      <c r="C331" s="27"/>
      <c r="D331" s="48"/>
      <c r="E331" s="48"/>
    </row>
    <row r="332" spans="1:5" x14ac:dyDescent="0.2">
      <c r="A332" s="21"/>
      <c r="B332" s="21"/>
      <c r="C332" s="27"/>
      <c r="D332" s="48"/>
      <c r="E332" s="48"/>
    </row>
    <row r="333" spans="1:5" x14ac:dyDescent="0.2">
      <c r="A333" s="21"/>
      <c r="B333" s="21"/>
      <c r="C333" s="27"/>
      <c r="D333" s="48"/>
      <c r="E333" s="48"/>
    </row>
    <row r="334" spans="1:5" x14ac:dyDescent="0.2">
      <c r="A334" s="21"/>
      <c r="B334" s="21"/>
      <c r="C334" s="27"/>
      <c r="D334" s="48"/>
      <c r="E334" s="48"/>
    </row>
    <row r="335" spans="1:5" x14ac:dyDescent="0.2">
      <c r="A335" s="21"/>
      <c r="B335" s="21"/>
      <c r="C335" s="27"/>
      <c r="D335" s="48"/>
      <c r="E335" s="48"/>
    </row>
    <row r="336" spans="1:5" x14ac:dyDescent="0.2">
      <c r="A336" s="21"/>
      <c r="B336" s="21"/>
      <c r="C336" s="27"/>
      <c r="D336" s="48"/>
      <c r="E336" s="48"/>
    </row>
    <row r="337" spans="1:5" x14ac:dyDescent="0.2">
      <c r="A337" s="21"/>
      <c r="B337" s="21"/>
      <c r="C337" s="27"/>
      <c r="D337" s="48"/>
      <c r="E337" s="48"/>
    </row>
    <row r="338" spans="1:5" x14ac:dyDescent="0.2">
      <c r="A338" s="21"/>
      <c r="B338" s="21"/>
      <c r="C338" s="27"/>
      <c r="D338" s="48"/>
      <c r="E338" s="48"/>
    </row>
    <row r="339" spans="1:5" x14ac:dyDescent="0.2">
      <c r="A339" s="21"/>
      <c r="B339" s="21"/>
      <c r="C339" s="27"/>
      <c r="D339" s="48"/>
      <c r="E339" s="48"/>
    </row>
    <row r="340" spans="1:5" x14ac:dyDescent="0.2">
      <c r="A340" s="21"/>
      <c r="B340" s="21"/>
      <c r="C340" s="27"/>
      <c r="D340" s="48"/>
      <c r="E340" s="48"/>
    </row>
    <row r="341" spans="1:5" x14ac:dyDescent="0.2">
      <c r="A341" s="21"/>
      <c r="B341" s="21"/>
      <c r="C341" s="27"/>
      <c r="D341" s="48"/>
      <c r="E341" s="48"/>
    </row>
    <row r="342" spans="1:5" x14ac:dyDescent="0.2">
      <c r="A342" s="21"/>
      <c r="B342" s="21"/>
      <c r="C342" s="27"/>
      <c r="D342" s="48"/>
      <c r="E342" s="48"/>
    </row>
    <row r="343" spans="1:5" x14ac:dyDescent="0.2">
      <c r="A343" s="21"/>
      <c r="B343" s="21"/>
      <c r="C343" s="27"/>
      <c r="D343" s="48"/>
      <c r="E343" s="48"/>
    </row>
    <row r="344" spans="1:5" x14ac:dyDescent="0.2">
      <c r="A344" s="21"/>
      <c r="B344" s="21"/>
      <c r="C344" s="27"/>
      <c r="D344" s="48"/>
      <c r="E344" s="48"/>
    </row>
    <row r="345" spans="1:5" x14ac:dyDescent="0.2">
      <c r="A345" s="21"/>
      <c r="B345" s="21"/>
      <c r="C345" s="27"/>
      <c r="D345" s="48"/>
      <c r="E345" s="48"/>
    </row>
    <row r="346" spans="1:5" x14ac:dyDescent="0.2">
      <c r="A346" s="21"/>
      <c r="B346" s="21"/>
      <c r="C346" s="27"/>
      <c r="D346" s="48"/>
      <c r="E346" s="48"/>
    </row>
    <row r="347" spans="1:5" x14ac:dyDescent="0.2">
      <c r="A347" s="21"/>
      <c r="B347" s="21"/>
      <c r="C347" s="27"/>
      <c r="D347" s="48"/>
      <c r="E347" s="48"/>
    </row>
    <row r="348" spans="1:5" x14ac:dyDescent="0.2">
      <c r="A348" s="21"/>
      <c r="B348" s="21"/>
      <c r="C348" s="27"/>
      <c r="D348" s="48"/>
      <c r="E348" s="48"/>
    </row>
    <row r="349" spans="1:5" x14ac:dyDescent="0.2">
      <c r="A349" s="21"/>
      <c r="B349" s="21"/>
      <c r="C349" s="27"/>
      <c r="D349" s="48"/>
      <c r="E349" s="48"/>
    </row>
    <row r="350" spans="1:5" x14ac:dyDescent="0.2">
      <c r="A350" s="21"/>
      <c r="B350" s="21"/>
      <c r="C350" s="27"/>
      <c r="D350" s="48"/>
      <c r="E350" s="48"/>
    </row>
    <row r="351" spans="1:5" x14ac:dyDescent="0.2">
      <c r="A351" s="21"/>
      <c r="B351" s="21"/>
      <c r="C351" s="27"/>
      <c r="D351" s="48"/>
      <c r="E351" s="48"/>
    </row>
    <row r="352" spans="1:5" x14ac:dyDescent="0.2">
      <c r="A352" s="21"/>
      <c r="B352" s="21"/>
      <c r="C352" s="27"/>
      <c r="D352" s="48"/>
      <c r="E352" s="48"/>
    </row>
    <row r="353" spans="1:5" x14ac:dyDescent="0.2">
      <c r="A353" s="21"/>
      <c r="B353" s="21"/>
      <c r="C353" s="27"/>
      <c r="D353" s="48"/>
      <c r="E353" s="48"/>
    </row>
    <row r="354" spans="1:5" x14ac:dyDescent="0.2">
      <c r="A354" s="21"/>
      <c r="B354" s="21"/>
      <c r="C354" s="27"/>
      <c r="D354" s="48"/>
      <c r="E354" s="48"/>
    </row>
    <row r="355" spans="1:5" x14ac:dyDescent="0.2">
      <c r="A355" s="21"/>
      <c r="B355" s="21"/>
      <c r="C355" s="27"/>
      <c r="D355" s="48"/>
      <c r="E355" s="48"/>
    </row>
    <row r="356" spans="1:5" x14ac:dyDescent="0.2">
      <c r="A356" s="21"/>
      <c r="B356" s="21"/>
      <c r="C356" s="27"/>
      <c r="D356" s="48"/>
      <c r="E356" s="48"/>
    </row>
    <row r="357" spans="1:5" x14ac:dyDescent="0.2">
      <c r="A357" s="21"/>
      <c r="B357" s="21"/>
      <c r="C357" s="27"/>
      <c r="D357" s="48"/>
      <c r="E357" s="48"/>
    </row>
    <row r="358" spans="1:5" x14ac:dyDescent="0.2">
      <c r="A358" s="21"/>
      <c r="B358" s="21"/>
      <c r="C358" s="27"/>
      <c r="D358" s="48"/>
      <c r="E358" s="48"/>
    </row>
    <row r="359" spans="1:5" x14ac:dyDescent="0.2">
      <c r="A359" s="21"/>
      <c r="B359" s="21"/>
      <c r="C359" s="27"/>
      <c r="D359" s="48"/>
      <c r="E359" s="48"/>
    </row>
    <row r="360" spans="1:5" x14ac:dyDescent="0.2">
      <c r="A360" s="21"/>
      <c r="B360" s="21"/>
      <c r="C360" s="27"/>
      <c r="D360" s="48"/>
      <c r="E360" s="48"/>
    </row>
    <row r="361" spans="1:5" x14ac:dyDescent="0.2">
      <c r="A361" s="21"/>
      <c r="B361" s="21"/>
      <c r="C361" s="27"/>
      <c r="D361" s="48"/>
      <c r="E361" s="48"/>
    </row>
    <row r="362" spans="1:5" x14ac:dyDescent="0.2">
      <c r="A362" s="21"/>
      <c r="B362" s="21"/>
      <c r="C362" s="27"/>
      <c r="D362" s="48"/>
      <c r="E362" s="48"/>
    </row>
    <row r="363" spans="1:5" x14ac:dyDescent="0.2">
      <c r="A363" s="21"/>
      <c r="B363" s="21"/>
      <c r="C363" s="27"/>
      <c r="D363" s="48"/>
      <c r="E363" s="48"/>
    </row>
    <row r="364" spans="1:5" x14ac:dyDescent="0.2">
      <c r="A364" s="21"/>
      <c r="B364" s="21"/>
      <c r="C364" s="27"/>
      <c r="D364" s="48"/>
      <c r="E364" s="48"/>
    </row>
    <row r="365" spans="1:5" x14ac:dyDescent="0.2">
      <c r="A365" s="21"/>
      <c r="B365" s="21"/>
      <c r="C365" s="27"/>
      <c r="D365" s="48"/>
      <c r="E365" s="48"/>
    </row>
    <row r="366" spans="1:5" x14ac:dyDescent="0.2">
      <c r="A366" s="21"/>
      <c r="B366" s="21"/>
      <c r="C366" s="27"/>
      <c r="D366" s="48"/>
      <c r="E366" s="48"/>
    </row>
    <row r="367" spans="1:5" x14ac:dyDescent="0.2">
      <c r="A367" s="21"/>
      <c r="B367" s="21"/>
      <c r="C367" s="27"/>
      <c r="D367" s="48"/>
      <c r="E367" s="48"/>
    </row>
    <row r="368" spans="1:5" x14ac:dyDescent="0.2">
      <c r="A368" s="21"/>
      <c r="B368" s="21"/>
      <c r="C368" s="27"/>
      <c r="D368" s="48"/>
      <c r="E368" s="48"/>
    </row>
    <row r="369" spans="1:5" x14ac:dyDescent="0.2">
      <c r="A369" s="21"/>
      <c r="B369" s="21"/>
      <c r="C369" s="27"/>
      <c r="D369" s="48"/>
      <c r="E369" s="48"/>
    </row>
    <row r="370" spans="1:5" x14ac:dyDescent="0.2">
      <c r="A370" s="21"/>
      <c r="B370" s="21"/>
      <c r="C370" s="27"/>
      <c r="D370" s="48"/>
      <c r="E370" s="48"/>
    </row>
    <row r="371" spans="1:5" x14ac:dyDescent="0.2">
      <c r="A371" s="21"/>
      <c r="B371" s="21"/>
      <c r="C371" s="27"/>
      <c r="D371" s="48"/>
      <c r="E371" s="48"/>
    </row>
    <row r="372" spans="1:5" x14ac:dyDescent="0.2">
      <c r="A372" s="21"/>
      <c r="B372" s="21"/>
      <c r="C372" s="27"/>
      <c r="D372" s="48"/>
      <c r="E372" s="48"/>
    </row>
    <row r="373" spans="1:5" x14ac:dyDescent="0.2">
      <c r="A373" s="21"/>
      <c r="B373" s="21"/>
      <c r="C373" s="27"/>
      <c r="D373" s="48"/>
      <c r="E373" s="48"/>
    </row>
    <row r="374" spans="1:5" x14ac:dyDescent="0.2">
      <c r="A374" s="21"/>
      <c r="B374" s="21"/>
      <c r="C374" s="27"/>
      <c r="D374" s="48"/>
      <c r="E374" s="48"/>
    </row>
    <row r="375" spans="1:5" x14ac:dyDescent="0.2">
      <c r="A375" s="21"/>
      <c r="B375" s="21"/>
      <c r="C375" s="27"/>
      <c r="D375" s="48"/>
      <c r="E375" s="48"/>
    </row>
    <row r="376" spans="1:5" x14ac:dyDescent="0.2">
      <c r="A376" s="21"/>
      <c r="B376" s="21"/>
      <c r="C376" s="27"/>
      <c r="D376" s="48"/>
      <c r="E376" s="48"/>
    </row>
    <row r="377" spans="1:5" x14ac:dyDescent="0.2">
      <c r="A377" s="21"/>
      <c r="B377" s="21"/>
      <c r="C377" s="27"/>
      <c r="D377" s="48"/>
      <c r="E377" s="48"/>
    </row>
    <row r="378" spans="1:5" x14ac:dyDescent="0.2">
      <c r="A378" s="21"/>
      <c r="B378" s="21"/>
      <c r="C378" s="27"/>
      <c r="D378" s="48"/>
      <c r="E378" s="48"/>
    </row>
    <row r="379" spans="1:5" x14ac:dyDescent="0.2">
      <c r="A379" s="21"/>
      <c r="B379" s="21"/>
      <c r="C379" s="27"/>
      <c r="D379" s="48"/>
      <c r="E379" s="48"/>
    </row>
    <row r="380" spans="1:5" x14ac:dyDescent="0.2">
      <c r="A380" s="21"/>
      <c r="B380" s="21"/>
      <c r="C380" s="27"/>
      <c r="D380" s="48"/>
      <c r="E380" s="48"/>
    </row>
    <row r="381" spans="1:5" x14ac:dyDescent="0.2">
      <c r="A381" s="21"/>
      <c r="B381" s="21"/>
      <c r="C381" s="27"/>
      <c r="D381" s="48"/>
      <c r="E381" s="48"/>
    </row>
    <row r="382" spans="1:5" x14ac:dyDescent="0.2">
      <c r="A382" s="21"/>
      <c r="B382" s="21"/>
      <c r="C382" s="27"/>
      <c r="D382" s="48"/>
      <c r="E382" s="48"/>
    </row>
    <row r="383" spans="1:5" x14ac:dyDescent="0.2">
      <c r="A383" s="21"/>
      <c r="B383" s="21"/>
      <c r="C383" s="27"/>
      <c r="D383" s="48"/>
      <c r="E383" s="48"/>
    </row>
    <row r="384" spans="1:5" x14ac:dyDescent="0.2">
      <c r="A384" s="21"/>
      <c r="B384" s="21"/>
      <c r="C384" s="27"/>
      <c r="D384" s="48"/>
      <c r="E384" s="48"/>
    </row>
    <row r="385" spans="1:5" x14ac:dyDescent="0.2">
      <c r="A385" s="21"/>
      <c r="B385" s="21"/>
      <c r="C385" s="27"/>
      <c r="D385" s="48"/>
      <c r="E385" s="48"/>
    </row>
    <row r="386" spans="1:5" x14ac:dyDescent="0.2">
      <c r="A386" s="21"/>
      <c r="B386" s="21"/>
      <c r="C386" s="27"/>
      <c r="D386" s="48"/>
      <c r="E386" s="48"/>
    </row>
    <row r="387" spans="1:5" x14ac:dyDescent="0.2">
      <c r="A387" s="21"/>
      <c r="B387" s="21"/>
      <c r="C387" s="27"/>
      <c r="D387" s="48"/>
      <c r="E387" s="48"/>
    </row>
    <row r="388" spans="1:5" x14ac:dyDescent="0.2">
      <c r="A388" s="21"/>
      <c r="B388" s="21"/>
      <c r="C388" s="27"/>
      <c r="D388" s="48"/>
      <c r="E388" s="48"/>
    </row>
    <row r="389" spans="1:5" x14ac:dyDescent="0.2">
      <c r="A389" s="21"/>
      <c r="B389" s="21"/>
      <c r="C389" s="27"/>
      <c r="D389" s="48"/>
      <c r="E389" s="48"/>
    </row>
    <row r="390" spans="1:5" x14ac:dyDescent="0.2">
      <c r="A390" s="21"/>
      <c r="B390" s="21"/>
      <c r="C390" s="27"/>
      <c r="D390" s="48"/>
      <c r="E390" s="48"/>
    </row>
    <row r="391" spans="1:5" x14ac:dyDescent="0.2">
      <c r="A391" s="21"/>
      <c r="B391" s="21"/>
      <c r="C391" s="27"/>
      <c r="D391" s="48"/>
      <c r="E391" s="48"/>
    </row>
    <row r="392" spans="1:5" x14ac:dyDescent="0.2">
      <c r="A392" s="21"/>
      <c r="B392" s="21"/>
      <c r="C392" s="27"/>
      <c r="D392" s="48"/>
      <c r="E392" s="48"/>
    </row>
    <row r="393" spans="1:5" x14ac:dyDescent="0.2">
      <c r="A393" s="21"/>
      <c r="B393" s="21"/>
      <c r="C393" s="27"/>
      <c r="D393" s="48"/>
      <c r="E393" s="48"/>
    </row>
    <row r="394" spans="1:5" x14ac:dyDescent="0.2">
      <c r="A394" s="21"/>
      <c r="B394" s="21"/>
      <c r="C394" s="27"/>
      <c r="D394" s="48"/>
      <c r="E394" s="48"/>
    </row>
    <row r="395" spans="1:5" x14ac:dyDescent="0.2">
      <c r="A395" s="21"/>
      <c r="B395" s="21"/>
      <c r="C395" s="27"/>
      <c r="D395" s="48"/>
      <c r="E395" s="48"/>
    </row>
    <row r="396" spans="1:5" x14ac:dyDescent="0.2">
      <c r="A396" s="21"/>
      <c r="B396" s="21"/>
      <c r="C396" s="27"/>
      <c r="D396" s="48"/>
      <c r="E396" s="48"/>
    </row>
    <row r="397" spans="1:5" x14ac:dyDescent="0.2">
      <c r="A397" s="21"/>
      <c r="B397" s="21"/>
      <c r="C397" s="27"/>
      <c r="D397" s="48"/>
      <c r="E397" s="48"/>
    </row>
    <row r="398" spans="1:5" x14ac:dyDescent="0.2">
      <c r="A398" s="21"/>
      <c r="B398" s="21"/>
      <c r="C398" s="27"/>
      <c r="D398" s="48"/>
      <c r="E398" s="48"/>
    </row>
    <row r="399" spans="1:5" x14ac:dyDescent="0.2">
      <c r="A399" s="21"/>
      <c r="B399" s="21"/>
      <c r="C399" s="27"/>
      <c r="D399" s="48"/>
      <c r="E399" s="48"/>
    </row>
    <row r="400" spans="1:5" x14ac:dyDescent="0.2">
      <c r="A400" s="21"/>
      <c r="B400" s="21"/>
      <c r="C400" s="27"/>
      <c r="D400" s="48"/>
      <c r="E400" s="48"/>
    </row>
  </sheetData>
  <sheetProtection algorithmName="SHA-512" hashValue="2P6lJIoDlN6VPQz0UQEt/68bbeJesOAYFRBvw5y29lkkCfKIvIJDV/fGjHyFqFNQUd7hxhAO+6TP4k6dEaR7DQ==" saltValue="MlEB1JnInhUJ5F7yEPM+pA==" spinCount="100000" sheet="1" formatCells="0" formatColumns="0" formatRows="0"/>
  <customSheetViews>
    <customSheetView guid="{B8E02330-2419-4DE6-AD01-7ACC7A5D18DD}" scale="75" topLeftCell="A204">
      <selection activeCell="A2" sqref="A2:H226"/>
      <pageMargins left="0.75" right="0.75" top="1" bottom="1" header="0.5" footer="0.5"/>
      <pageSetup orientation="portrait" r:id="rId1"/>
      <headerFooter alignWithMargins="0"/>
    </customSheetView>
  </customSheetViews>
  <mergeCells count="156">
    <mergeCell ref="H205:I205"/>
    <mergeCell ref="H197:I197"/>
    <mergeCell ref="H198:I198"/>
    <mergeCell ref="H200:I200"/>
    <mergeCell ref="H201:I201"/>
    <mergeCell ref="H202:I202"/>
    <mergeCell ref="I161:I163"/>
    <mergeCell ref="I164:I170"/>
    <mergeCell ref="H161:H163"/>
    <mergeCell ref="H164:H170"/>
    <mergeCell ref="H179:H186"/>
    <mergeCell ref="H146:H149"/>
    <mergeCell ref="H171:H175"/>
    <mergeCell ref="H155:H160"/>
    <mergeCell ref="H150:H154"/>
    <mergeCell ref="H137:H140"/>
    <mergeCell ref="H219:I219"/>
    <mergeCell ref="E1:I1"/>
    <mergeCell ref="H217:I217"/>
    <mergeCell ref="H218:I218"/>
    <mergeCell ref="H213:I213"/>
    <mergeCell ref="H212:I212"/>
    <mergeCell ref="H211:I211"/>
    <mergeCell ref="H209:I209"/>
    <mergeCell ref="H210:I210"/>
    <mergeCell ref="H214:I214"/>
    <mergeCell ref="H215:I215"/>
    <mergeCell ref="H216:I216"/>
    <mergeCell ref="H203:I203"/>
    <mergeCell ref="H204:I204"/>
    <mergeCell ref="H206:I206"/>
    <mergeCell ref="H207:I207"/>
    <mergeCell ref="H208:I208"/>
    <mergeCell ref="I96:I101"/>
    <mergeCell ref="I37:I41"/>
    <mergeCell ref="I43:I49"/>
    <mergeCell ref="I50:I58"/>
    <mergeCell ref="I59:I62"/>
    <mergeCell ref="I63:I68"/>
    <mergeCell ref="I171:I175"/>
    <mergeCell ref="I137:I140"/>
    <mergeCell ref="I142:I145"/>
    <mergeCell ref="I146:I149"/>
    <mergeCell ref="I150:I154"/>
    <mergeCell ref="I155:I160"/>
    <mergeCell ref="I102:I105"/>
    <mergeCell ref="I106:I111"/>
    <mergeCell ref="I112:I118"/>
    <mergeCell ref="I119:I125"/>
    <mergeCell ref="I126:I131"/>
    <mergeCell ref="I132:I136"/>
    <mergeCell ref="I3:I9"/>
    <mergeCell ref="I10:I16"/>
    <mergeCell ref="I17:I24"/>
    <mergeCell ref="I25:I31"/>
    <mergeCell ref="I32:I36"/>
    <mergeCell ref="A189:C196"/>
    <mergeCell ref="A197:B198"/>
    <mergeCell ref="D190:F190"/>
    <mergeCell ref="D191:F191"/>
    <mergeCell ref="D192:F192"/>
    <mergeCell ref="D193:F193"/>
    <mergeCell ref="D194:F194"/>
    <mergeCell ref="D195:F195"/>
    <mergeCell ref="C197:E197"/>
    <mergeCell ref="C198:E198"/>
    <mergeCell ref="D196:H196"/>
    <mergeCell ref="D189:H189"/>
    <mergeCell ref="B106:B111"/>
    <mergeCell ref="B150:B154"/>
    <mergeCell ref="A106:A111"/>
    <mergeCell ref="I71:I77"/>
    <mergeCell ref="I78:I83"/>
    <mergeCell ref="I84:I89"/>
    <mergeCell ref="I90:I95"/>
    <mergeCell ref="A1:B1"/>
    <mergeCell ref="A3:A9"/>
    <mergeCell ref="B17:B24"/>
    <mergeCell ref="B32:B36"/>
    <mergeCell ref="A25:A31"/>
    <mergeCell ref="A32:A36"/>
    <mergeCell ref="B3:B9"/>
    <mergeCell ref="A10:A16"/>
    <mergeCell ref="B78:B83"/>
    <mergeCell ref="B37:B41"/>
    <mergeCell ref="A37:A41"/>
    <mergeCell ref="A78:A83"/>
    <mergeCell ref="B10:B16"/>
    <mergeCell ref="A17:A24"/>
    <mergeCell ref="B25:B31"/>
    <mergeCell ref="B71:B77"/>
    <mergeCell ref="B43:B49"/>
    <mergeCell ref="B171:B175"/>
    <mergeCell ref="B164:B170"/>
    <mergeCell ref="B146:B149"/>
    <mergeCell ref="A171:A175"/>
    <mergeCell ref="B84:B89"/>
    <mergeCell ref="B102:B105"/>
    <mergeCell ref="B96:B101"/>
    <mergeCell ref="B90:B95"/>
    <mergeCell ref="B126:B131"/>
    <mergeCell ref="A102:A105"/>
    <mergeCell ref="A90:A95"/>
    <mergeCell ref="A84:A89"/>
    <mergeCell ref="A146:A149"/>
    <mergeCell ref="B142:B145"/>
    <mergeCell ref="A142:A145"/>
    <mergeCell ref="B161:B163"/>
    <mergeCell ref="B155:B160"/>
    <mergeCell ref="A155:A160"/>
    <mergeCell ref="B119:B125"/>
    <mergeCell ref="B137:B140"/>
    <mergeCell ref="A164:A170"/>
    <mergeCell ref="A161:A163"/>
    <mergeCell ref="A150:A154"/>
    <mergeCell ref="H50:H58"/>
    <mergeCell ref="H59:H62"/>
    <mergeCell ref="H71:H77"/>
    <mergeCell ref="H25:H31"/>
    <mergeCell ref="H119:H125"/>
    <mergeCell ref="H126:H131"/>
    <mergeCell ref="H142:H145"/>
    <mergeCell ref="A137:A140"/>
    <mergeCell ref="A126:A131"/>
    <mergeCell ref="A119:A125"/>
    <mergeCell ref="A71:A77"/>
    <mergeCell ref="A59:A62"/>
    <mergeCell ref="A96:A101"/>
    <mergeCell ref="A63:A68"/>
    <mergeCell ref="B132:B136"/>
    <mergeCell ref="A132:A136"/>
    <mergeCell ref="H132:H136"/>
    <mergeCell ref="A179:A186"/>
    <mergeCell ref="B179:B186"/>
    <mergeCell ref="I179:I186"/>
    <mergeCell ref="H3:H9"/>
    <mergeCell ref="A112:A118"/>
    <mergeCell ref="B112:B118"/>
    <mergeCell ref="H10:H16"/>
    <mergeCell ref="H43:H49"/>
    <mergeCell ref="H112:H118"/>
    <mergeCell ref="H78:H83"/>
    <mergeCell ref="H84:H89"/>
    <mergeCell ref="H102:H105"/>
    <mergeCell ref="H90:H95"/>
    <mergeCell ref="H37:H41"/>
    <mergeCell ref="H106:H111"/>
    <mergeCell ref="B59:B62"/>
    <mergeCell ref="A50:A58"/>
    <mergeCell ref="H17:H24"/>
    <mergeCell ref="H32:H36"/>
    <mergeCell ref="H96:H101"/>
    <mergeCell ref="A43:A49"/>
    <mergeCell ref="B50:B58"/>
    <mergeCell ref="B63:B68"/>
    <mergeCell ref="H63:H68"/>
  </mergeCells>
  <phoneticPr fontId="3" type="noConversion"/>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92D050"/>
  </sheetPr>
  <dimension ref="A1:G161"/>
  <sheetViews>
    <sheetView topLeftCell="A3" zoomScaleNormal="100" workbookViewId="0">
      <selection activeCell="D3" sqref="D3"/>
    </sheetView>
  </sheetViews>
  <sheetFormatPr defaultColWidth="9.33203125" defaultRowHeight="15" customHeight="1" x14ac:dyDescent="0.2"/>
  <cols>
    <col min="1" max="1" width="5.83203125" style="1146" customWidth="1"/>
    <col min="2" max="2" width="18.83203125" style="1148" customWidth="1"/>
    <col min="3" max="3" width="100.83203125" style="1148" customWidth="1"/>
    <col min="4" max="4" width="7.83203125" style="1149" customWidth="1"/>
    <col min="5" max="5" width="73.83203125" style="1148" customWidth="1"/>
    <col min="6" max="6" width="11.33203125" style="1136" customWidth="1"/>
    <col min="7" max="7" width="98.1640625" style="1136" customWidth="1"/>
    <col min="8" max="16384" width="9.33203125" style="1136"/>
  </cols>
  <sheetData>
    <row r="1" spans="1:7" s="1135" customFormat="1" ht="30" customHeight="1" thickBot="1" x14ac:dyDescent="0.25">
      <c r="A1" s="1675" t="s">
        <v>1701</v>
      </c>
      <c r="B1" s="1676"/>
      <c r="C1" s="1147" t="s">
        <v>2036</v>
      </c>
      <c r="D1" s="1677" t="s">
        <v>2037</v>
      </c>
      <c r="E1" s="1678"/>
    </row>
    <row r="2" spans="1:7" ht="162.75" customHeight="1" thickBot="1" x14ac:dyDescent="0.25">
      <c r="A2" s="1672" t="s">
        <v>2948</v>
      </c>
      <c r="B2" s="1673"/>
      <c r="C2" s="1673"/>
      <c r="D2" s="1673"/>
      <c r="E2" s="1674"/>
      <c r="F2" s="1279"/>
      <c r="G2" s="1280"/>
    </row>
    <row r="3" spans="1:7" s="1137" customFormat="1" ht="30" customHeight="1" thickBot="1" x14ac:dyDescent="0.25">
      <c r="A3" s="1372" t="s">
        <v>1116</v>
      </c>
      <c r="B3" s="1373" t="s">
        <v>959</v>
      </c>
      <c r="C3" s="1375" t="s">
        <v>1164</v>
      </c>
      <c r="D3" s="1374" t="s">
        <v>45</v>
      </c>
      <c r="E3" s="1375" t="s">
        <v>1898</v>
      </c>
      <c r="F3" s="1278" t="s">
        <v>2427</v>
      </c>
      <c r="G3" s="1277" t="s">
        <v>2428</v>
      </c>
    </row>
    <row r="4" spans="1:7" s="1138" customFormat="1" ht="21" customHeight="1" thickBot="1" x14ac:dyDescent="0.25">
      <c r="A4" s="1669" t="s">
        <v>618</v>
      </c>
      <c r="B4" s="1663" t="s">
        <v>2303</v>
      </c>
      <c r="C4" s="1266" t="s">
        <v>2470</v>
      </c>
      <c r="D4" s="1576"/>
      <c r="E4" s="1663" t="s">
        <v>2557</v>
      </c>
      <c r="F4" s="1505"/>
      <c r="G4" s="1663"/>
    </row>
    <row r="5" spans="1:7" s="1138" customFormat="1" ht="15" customHeight="1" x14ac:dyDescent="0.2">
      <c r="A5" s="1670"/>
      <c r="B5" s="1664"/>
      <c r="C5" s="1315" t="s">
        <v>2906</v>
      </c>
      <c r="D5" s="1577">
        <v>0</v>
      </c>
      <c r="E5" s="1664"/>
      <c r="F5" s="1506" t="s">
        <v>2930</v>
      </c>
      <c r="G5" s="1664"/>
    </row>
    <row r="6" spans="1:7" s="1138" customFormat="1" ht="15" customHeight="1" x14ac:dyDescent="0.2">
      <c r="A6" s="1670"/>
      <c r="B6" s="1664"/>
      <c r="C6" s="1263" t="s">
        <v>2907</v>
      </c>
      <c r="D6" s="1577">
        <v>0</v>
      </c>
      <c r="E6" s="1664"/>
      <c r="F6" s="1506" t="s">
        <v>2931</v>
      </c>
      <c r="G6" s="1664"/>
    </row>
    <row r="7" spans="1:7" s="1138" customFormat="1" ht="15" customHeight="1" x14ac:dyDescent="0.2">
      <c r="A7" s="1670"/>
      <c r="B7" s="1664"/>
      <c r="C7" s="1263" t="s">
        <v>2908</v>
      </c>
      <c r="D7" s="1577">
        <v>0</v>
      </c>
      <c r="E7" s="1664"/>
      <c r="F7" s="1506" t="s">
        <v>2932</v>
      </c>
      <c r="G7" s="1664"/>
    </row>
    <row r="8" spans="1:7" s="1138" customFormat="1" ht="15" customHeight="1" thickBot="1" x14ac:dyDescent="0.25">
      <c r="A8" s="1671"/>
      <c r="B8" s="1665"/>
      <c r="C8" s="1264" t="s">
        <v>2909</v>
      </c>
      <c r="D8" s="1577">
        <v>0</v>
      </c>
      <c r="E8" s="1665"/>
      <c r="F8" s="1507" t="s">
        <v>2933</v>
      </c>
      <c r="G8" s="1665"/>
    </row>
    <row r="9" spans="1:7" s="1139" customFormat="1" ht="28.5" customHeight="1" thickBot="1" x14ac:dyDescent="0.25">
      <c r="A9" s="1669" t="s">
        <v>619</v>
      </c>
      <c r="B9" s="1663" t="s">
        <v>2487</v>
      </c>
      <c r="C9" s="1265" t="s">
        <v>2494</v>
      </c>
      <c r="D9" s="1576"/>
      <c r="E9" s="1663" t="s">
        <v>2891</v>
      </c>
      <c r="F9" s="1663"/>
      <c r="G9" s="1663" t="s">
        <v>912</v>
      </c>
    </row>
    <row r="10" spans="1:7" s="1139" customFormat="1" ht="15" customHeight="1" thickBot="1" x14ac:dyDescent="0.25">
      <c r="A10" s="1670"/>
      <c r="B10" s="1664"/>
      <c r="C10" s="1483" t="s">
        <v>2620</v>
      </c>
      <c r="D10" s="1577">
        <v>0</v>
      </c>
      <c r="E10" s="1664"/>
      <c r="F10" s="1664"/>
      <c r="G10" s="1664"/>
    </row>
    <row r="11" spans="1:7" s="1139" customFormat="1" ht="15" customHeight="1" thickBot="1" x14ac:dyDescent="0.25">
      <c r="A11" s="1670"/>
      <c r="B11" s="1664"/>
      <c r="C11" s="1484" t="s">
        <v>2621</v>
      </c>
      <c r="D11" s="1577">
        <v>0</v>
      </c>
      <c r="E11" s="1664"/>
      <c r="F11" s="1664"/>
      <c r="G11" s="1664"/>
    </row>
    <row r="12" spans="1:7" s="1139" customFormat="1" ht="15" customHeight="1" thickBot="1" x14ac:dyDescent="0.25">
      <c r="A12" s="1670"/>
      <c r="B12" s="1664"/>
      <c r="C12" s="1484" t="s">
        <v>2622</v>
      </c>
      <c r="D12" s="1577">
        <v>0</v>
      </c>
      <c r="E12" s="1664"/>
      <c r="F12" s="1664"/>
      <c r="G12" s="1664"/>
    </row>
    <row r="13" spans="1:7" s="1139" customFormat="1" ht="15" customHeight="1" thickBot="1" x14ac:dyDescent="0.25">
      <c r="A13" s="1670"/>
      <c r="B13" s="1664"/>
      <c r="C13" s="1485" t="s">
        <v>2623</v>
      </c>
      <c r="D13" s="1577">
        <v>0</v>
      </c>
      <c r="E13" s="1664"/>
      <c r="F13" s="1664"/>
      <c r="G13" s="1664"/>
    </row>
    <row r="14" spans="1:7" s="1139" customFormat="1" ht="15" customHeight="1" thickBot="1" x14ac:dyDescent="0.25">
      <c r="A14" s="1670"/>
      <c r="B14" s="1664"/>
      <c r="C14" s="1485" t="s">
        <v>2624</v>
      </c>
      <c r="D14" s="1577">
        <v>0</v>
      </c>
      <c r="E14" s="1664"/>
      <c r="F14" s="1664"/>
      <c r="G14" s="1664"/>
    </row>
    <row r="15" spans="1:7" s="1139" customFormat="1" ht="15" customHeight="1" thickBot="1" x14ac:dyDescent="0.25">
      <c r="A15" s="1671"/>
      <c r="B15" s="1665"/>
      <c r="C15" s="1486" t="s">
        <v>2625</v>
      </c>
      <c r="D15" s="1577">
        <v>0</v>
      </c>
      <c r="E15" s="1665"/>
      <c r="F15" s="1665"/>
      <c r="G15" s="1665"/>
    </row>
    <row r="16" spans="1:7" s="1139" customFormat="1" ht="30.6" customHeight="1" thickBot="1" x14ac:dyDescent="0.25">
      <c r="A16" s="1669" t="s">
        <v>620</v>
      </c>
      <c r="B16" s="1663" t="s">
        <v>2658</v>
      </c>
      <c r="C16" s="1265" t="s">
        <v>2495</v>
      </c>
      <c r="D16" s="1576"/>
      <c r="E16" s="1663" t="s">
        <v>2570</v>
      </c>
      <c r="F16" s="1663"/>
      <c r="G16" s="1663"/>
    </row>
    <row r="17" spans="1:7" s="1139" customFormat="1" ht="15" customHeight="1" thickBot="1" x14ac:dyDescent="0.25">
      <c r="A17" s="1670"/>
      <c r="B17" s="1664"/>
      <c r="C17" s="1483" t="s">
        <v>2620</v>
      </c>
      <c r="D17" s="1578">
        <v>0</v>
      </c>
      <c r="E17" s="1664"/>
      <c r="F17" s="1664"/>
      <c r="G17" s="1664"/>
    </row>
    <row r="18" spans="1:7" s="1139" customFormat="1" ht="15" customHeight="1" thickBot="1" x14ac:dyDescent="0.25">
      <c r="A18" s="1670"/>
      <c r="B18" s="1664"/>
      <c r="C18" s="1484" t="s">
        <v>2621</v>
      </c>
      <c r="D18" s="1578">
        <v>0</v>
      </c>
      <c r="E18" s="1664"/>
      <c r="F18" s="1664"/>
      <c r="G18" s="1664"/>
    </row>
    <row r="19" spans="1:7" s="1139" customFormat="1" ht="15" customHeight="1" thickBot="1" x14ac:dyDescent="0.25">
      <c r="A19" s="1670"/>
      <c r="B19" s="1664"/>
      <c r="C19" s="1484" t="s">
        <v>2622</v>
      </c>
      <c r="D19" s="1578">
        <v>0</v>
      </c>
      <c r="E19" s="1664"/>
      <c r="F19" s="1664"/>
      <c r="G19" s="1664"/>
    </row>
    <row r="20" spans="1:7" s="1139" customFormat="1" ht="15" customHeight="1" thickBot="1" x14ac:dyDescent="0.25">
      <c r="A20" s="1670"/>
      <c r="B20" s="1664"/>
      <c r="C20" s="1485" t="s">
        <v>2623</v>
      </c>
      <c r="D20" s="1578">
        <v>0</v>
      </c>
      <c r="E20" s="1664"/>
      <c r="F20" s="1664"/>
      <c r="G20" s="1664"/>
    </row>
    <row r="21" spans="1:7" s="1139" customFormat="1" ht="15" customHeight="1" thickBot="1" x14ac:dyDescent="0.25">
      <c r="A21" s="1670"/>
      <c r="B21" s="1664"/>
      <c r="C21" s="1485" t="s">
        <v>2624</v>
      </c>
      <c r="D21" s="1577">
        <v>0</v>
      </c>
      <c r="E21" s="1664"/>
      <c r="F21" s="1664"/>
      <c r="G21" s="1664"/>
    </row>
    <row r="22" spans="1:7" s="1139" customFormat="1" ht="15" customHeight="1" thickBot="1" x14ac:dyDescent="0.25">
      <c r="A22" s="1671"/>
      <c r="B22" s="1665"/>
      <c r="C22" s="1486" t="s">
        <v>2625</v>
      </c>
      <c r="D22" s="1578">
        <v>0</v>
      </c>
      <c r="E22" s="1665"/>
      <c r="F22" s="1665"/>
      <c r="G22" s="1665"/>
    </row>
    <row r="23" spans="1:7" s="1140" customFormat="1" ht="30" customHeight="1" thickBot="1" x14ac:dyDescent="0.25">
      <c r="A23" s="1666" t="s">
        <v>621</v>
      </c>
      <c r="B23" s="1663" t="s">
        <v>1290</v>
      </c>
      <c r="C23" s="1265" t="s">
        <v>2552</v>
      </c>
      <c r="D23" s="1576"/>
      <c r="E23" s="1663" t="s">
        <v>2569</v>
      </c>
      <c r="F23" s="1663"/>
      <c r="G23" s="1663"/>
    </row>
    <row r="24" spans="1:7" ht="15" customHeight="1" x14ac:dyDescent="0.2">
      <c r="A24" s="1667"/>
      <c r="B24" s="1664"/>
      <c r="C24" s="1483" t="s">
        <v>2620</v>
      </c>
      <c r="D24" s="1577">
        <v>0</v>
      </c>
      <c r="E24" s="1664"/>
      <c r="F24" s="1664"/>
      <c r="G24" s="1664"/>
    </row>
    <row r="25" spans="1:7" ht="15" customHeight="1" x14ac:dyDescent="0.2">
      <c r="A25" s="1667"/>
      <c r="B25" s="1664"/>
      <c r="C25" s="1484" t="s">
        <v>2621</v>
      </c>
      <c r="D25" s="1577">
        <v>0</v>
      </c>
      <c r="E25" s="1664"/>
      <c r="F25" s="1664"/>
      <c r="G25" s="1664"/>
    </row>
    <row r="26" spans="1:7" ht="15" customHeight="1" x14ac:dyDescent="0.2">
      <c r="A26" s="1667"/>
      <c r="B26" s="1664"/>
      <c r="C26" s="1484" t="s">
        <v>2622</v>
      </c>
      <c r="D26" s="1577">
        <v>0</v>
      </c>
      <c r="E26" s="1664"/>
      <c r="F26" s="1664"/>
      <c r="G26" s="1664"/>
    </row>
    <row r="27" spans="1:7" ht="15" customHeight="1" x14ac:dyDescent="0.2">
      <c r="A27" s="1667"/>
      <c r="B27" s="1664"/>
      <c r="C27" s="1485" t="s">
        <v>2623</v>
      </c>
      <c r="D27" s="1577">
        <v>0</v>
      </c>
      <c r="E27" s="1664"/>
      <c r="F27" s="1664"/>
      <c r="G27" s="1664"/>
    </row>
    <row r="28" spans="1:7" ht="15" customHeight="1" x14ac:dyDescent="0.2">
      <c r="A28" s="1667"/>
      <c r="B28" s="1664"/>
      <c r="C28" s="1485" t="s">
        <v>2624</v>
      </c>
      <c r="D28" s="1577">
        <v>0</v>
      </c>
      <c r="E28" s="1664"/>
      <c r="F28" s="1664"/>
      <c r="G28" s="1664"/>
    </row>
    <row r="29" spans="1:7" ht="15" customHeight="1" x14ac:dyDescent="0.2">
      <c r="A29" s="1667"/>
      <c r="B29" s="1664"/>
      <c r="C29" s="1487" t="s">
        <v>2626</v>
      </c>
      <c r="D29" s="1577">
        <v>0</v>
      </c>
      <c r="E29" s="1664"/>
      <c r="F29" s="1664"/>
      <c r="G29" s="1664"/>
    </row>
    <row r="30" spans="1:7" s="1141" customFormat="1" ht="15" customHeight="1" thickBot="1" x14ac:dyDescent="0.25">
      <c r="A30" s="1668"/>
      <c r="B30" s="1665"/>
      <c r="C30" s="1486" t="s">
        <v>2627</v>
      </c>
      <c r="D30" s="1577">
        <v>0</v>
      </c>
      <c r="E30" s="1665"/>
      <c r="F30" s="1665"/>
      <c r="G30" s="1665"/>
    </row>
    <row r="31" spans="1:7" s="1140" customFormat="1" ht="30" customHeight="1" thickBot="1" x14ac:dyDescent="0.25">
      <c r="A31" s="1666" t="s">
        <v>622</v>
      </c>
      <c r="B31" s="1663" t="s">
        <v>1306</v>
      </c>
      <c r="C31" s="1266" t="s">
        <v>2496</v>
      </c>
      <c r="D31" s="1576"/>
      <c r="E31" s="1663" t="s">
        <v>2892</v>
      </c>
      <c r="F31" s="1663"/>
      <c r="G31" s="1663"/>
    </row>
    <row r="32" spans="1:7" ht="41.25" customHeight="1" x14ac:dyDescent="0.2">
      <c r="A32" s="1667"/>
      <c r="B32" s="1664"/>
      <c r="C32" s="1488" t="s">
        <v>2659</v>
      </c>
      <c r="D32" s="1577">
        <v>0</v>
      </c>
      <c r="E32" s="1664"/>
      <c r="F32" s="1664"/>
      <c r="G32" s="1664"/>
    </row>
    <row r="33" spans="1:7" ht="27.75" customHeight="1" x14ac:dyDescent="0.2">
      <c r="A33" s="1667"/>
      <c r="B33" s="1664"/>
      <c r="C33" s="1489" t="s">
        <v>1602</v>
      </c>
      <c r="D33" s="1577">
        <v>0</v>
      </c>
      <c r="E33" s="1664"/>
      <c r="F33" s="1664"/>
      <c r="G33" s="1664"/>
    </row>
    <row r="34" spans="1:7" ht="15" customHeight="1" x14ac:dyDescent="0.2">
      <c r="A34" s="1667"/>
      <c r="B34" s="1664"/>
      <c r="C34" s="1489" t="s">
        <v>2497</v>
      </c>
      <c r="D34" s="1577">
        <v>0</v>
      </c>
      <c r="E34" s="1664"/>
      <c r="F34" s="1664"/>
      <c r="G34" s="1664"/>
    </row>
    <row r="35" spans="1:7" ht="15" customHeight="1" x14ac:dyDescent="0.2">
      <c r="A35" s="1667"/>
      <c r="B35" s="1664"/>
      <c r="C35" s="1489" t="s">
        <v>1951</v>
      </c>
      <c r="D35" s="1577">
        <v>0</v>
      </c>
      <c r="E35" s="1664"/>
      <c r="F35" s="1664"/>
      <c r="G35" s="1664"/>
    </row>
    <row r="36" spans="1:7" ht="15" customHeight="1" x14ac:dyDescent="0.2">
      <c r="A36" s="1667"/>
      <c r="B36" s="1664"/>
      <c r="C36" s="1489" t="s">
        <v>2498</v>
      </c>
      <c r="D36" s="1577">
        <v>0</v>
      </c>
      <c r="E36" s="1664"/>
      <c r="F36" s="1664"/>
      <c r="G36" s="1664"/>
    </row>
    <row r="37" spans="1:7" ht="15" customHeight="1" x14ac:dyDescent="0.2">
      <c r="A37" s="1667"/>
      <c r="B37" s="1664"/>
      <c r="C37" s="1489" t="s">
        <v>1952</v>
      </c>
      <c r="D37" s="1577">
        <v>0</v>
      </c>
      <c r="E37" s="1664"/>
      <c r="F37" s="1664"/>
      <c r="G37" s="1664"/>
    </row>
    <row r="38" spans="1:7" s="1141" customFormat="1" ht="15" customHeight="1" thickBot="1" x14ac:dyDescent="0.25">
      <c r="A38" s="1668"/>
      <c r="B38" s="1665"/>
      <c r="C38" s="1490" t="s">
        <v>2660</v>
      </c>
      <c r="D38" s="1577">
        <v>0</v>
      </c>
      <c r="E38" s="1665"/>
      <c r="F38" s="1665"/>
      <c r="G38" s="1665"/>
    </row>
    <row r="39" spans="1:7" s="1139" customFormat="1" ht="107.25" customHeight="1" thickBot="1" x14ac:dyDescent="0.25">
      <c r="A39" s="283" t="s">
        <v>623</v>
      </c>
      <c r="B39" s="1267" t="s">
        <v>1303</v>
      </c>
      <c r="C39" s="1266" t="s">
        <v>2674</v>
      </c>
      <c r="D39" s="1579">
        <v>0</v>
      </c>
      <c r="E39" s="1267" t="s">
        <v>2561</v>
      </c>
      <c r="F39" s="1267"/>
      <c r="G39" s="1267"/>
    </row>
    <row r="40" spans="1:7" s="1139" customFormat="1" ht="81.75" customHeight="1" thickBot="1" x14ac:dyDescent="0.25">
      <c r="A40" s="283" t="s">
        <v>624</v>
      </c>
      <c r="B40" s="1267" t="s">
        <v>1315</v>
      </c>
      <c r="C40" s="1491" t="s">
        <v>2928</v>
      </c>
      <c r="D40" s="1580">
        <v>0</v>
      </c>
      <c r="E40" s="1267" t="s">
        <v>2471</v>
      </c>
      <c r="F40" s="1267"/>
      <c r="G40" s="1267"/>
    </row>
    <row r="41" spans="1:7" s="1140" customFormat="1" ht="42" customHeight="1" thickBot="1" x14ac:dyDescent="0.25">
      <c r="A41" s="1669" t="s">
        <v>625</v>
      </c>
      <c r="B41" s="1663" t="s">
        <v>2274</v>
      </c>
      <c r="C41" s="1265" t="s">
        <v>2490</v>
      </c>
      <c r="D41" s="1576"/>
      <c r="E41" s="1663" t="s">
        <v>2472</v>
      </c>
      <c r="F41" s="1663"/>
      <c r="G41" s="1663"/>
    </row>
    <row r="42" spans="1:7" ht="15" customHeight="1" x14ac:dyDescent="0.2">
      <c r="A42" s="1670"/>
      <c r="B42" s="1664"/>
      <c r="C42" s="1488" t="s">
        <v>1953</v>
      </c>
      <c r="D42" s="1577">
        <v>0</v>
      </c>
      <c r="E42" s="1664"/>
      <c r="F42" s="1664"/>
      <c r="G42" s="1664"/>
    </row>
    <row r="43" spans="1:7" ht="15" customHeight="1" x14ac:dyDescent="0.2">
      <c r="A43" s="1670"/>
      <c r="B43" s="1664"/>
      <c r="C43" s="1489" t="s">
        <v>1954</v>
      </c>
      <c r="D43" s="1577">
        <v>0</v>
      </c>
      <c r="E43" s="1664"/>
      <c r="F43" s="1664"/>
      <c r="G43" s="1664"/>
    </row>
    <row r="44" spans="1:7" ht="15" customHeight="1" x14ac:dyDescent="0.2">
      <c r="A44" s="1670"/>
      <c r="B44" s="1664"/>
      <c r="C44" s="1489" t="s">
        <v>1955</v>
      </c>
      <c r="D44" s="1577">
        <v>0</v>
      </c>
      <c r="E44" s="1664"/>
      <c r="F44" s="1664"/>
      <c r="G44" s="1664"/>
    </row>
    <row r="45" spans="1:7" ht="15" customHeight="1" x14ac:dyDescent="0.2">
      <c r="A45" s="1670"/>
      <c r="B45" s="1664"/>
      <c r="C45" s="1489" t="s">
        <v>1956</v>
      </c>
      <c r="D45" s="1577">
        <v>0</v>
      </c>
      <c r="E45" s="1664"/>
      <c r="F45" s="1664"/>
      <c r="G45" s="1664"/>
    </row>
    <row r="46" spans="1:7" s="1141" customFormat="1" ht="15" customHeight="1" thickBot="1" x14ac:dyDescent="0.25">
      <c r="A46" s="1671"/>
      <c r="B46" s="1665"/>
      <c r="C46" s="1490" t="s">
        <v>2612</v>
      </c>
      <c r="D46" s="1577">
        <v>0</v>
      </c>
      <c r="E46" s="1665"/>
      <c r="F46" s="1665"/>
      <c r="G46" s="1665"/>
    </row>
    <row r="47" spans="1:7" s="1140" customFormat="1" ht="21" customHeight="1" thickBot="1" x14ac:dyDescent="0.25">
      <c r="A47" s="1666" t="s">
        <v>626</v>
      </c>
      <c r="B47" s="1663" t="s">
        <v>261</v>
      </c>
      <c r="C47" s="1266" t="s">
        <v>2499</v>
      </c>
      <c r="D47" s="1576"/>
      <c r="E47" s="1663" t="s">
        <v>1930</v>
      </c>
      <c r="F47" s="1663"/>
      <c r="G47" s="1663"/>
    </row>
    <row r="48" spans="1:7" ht="15" customHeight="1" x14ac:dyDescent="0.2">
      <c r="A48" s="1667"/>
      <c r="B48" s="1664"/>
      <c r="C48" s="1488" t="s">
        <v>2661</v>
      </c>
      <c r="D48" s="1577">
        <v>0</v>
      </c>
      <c r="E48" s="1664"/>
      <c r="F48" s="1664"/>
      <c r="G48" s="1664"/>
    </row>
    <row r="49" spans="1:7" s="1141" customFormat="1" ht="15" customHeight="1" thickBot="1" x14ac:dyDescent="0.25">
      <c r="A49" s="1668"/>
      <c r="B49" s="1665"/>
      <c r="C49" s="1490" t="s">
        <v>2662</v>
      </c>
      <c r="D49" s="1577">
        <v>0</v>
      </c>
      <c r="E49" s="1665"/>
      <c r="F49" s="1665"/>
      <c r="G49" s="1665"/>
    </row>
    <row r="50" spans="1:7" ht="21" customHeight="1" thickBot="1" x14ac:dyDescent="0.25">
      <c r="A50" s="1669" t="s">
        <v>627</v>
      </c>
      <c r="B50" s="1663" t="s">
        <v>484</v>
      </c>
      <c r="C50" s="1265" t="s">
        <v>2500</v>
      </c>
      <c r="D50" s="1581"/>
      <c r="E50" s="1663" t="s">
        <v>2893</v>
      </c>
      <c r="F50" s="1663"/>
      <c r="G50" s="1663"/>
    </row>
    <row r="51" spans="1:7" ht="15" customHeight="1" x14ac:dyDescent="0.2">
      <c r="A51" s="1670"/>
      <c r="B51" s="1664"/>
      <c r="C51" s="1488" t="s">
        <v>2628</v>
      </c>
      <c r="D51" s="1582">
        <v>0</v>
      </c>
      <c r="E51" s="1664"/>
      <c r="F51" s="1664"/>
      <c r="G51" s="1664"/>
    </row>
    <row r="52" spans="1:7" ht="15" customHeight="1" x14ac:dyDescent="0.2">
      <c r="A52" s="1670"/>
      <c r="B52" s="1664"/>
      <c r="C52" s="1489" t="s">
        <v>2629</v>
      </c>
      <c r="D52" s="1577">
        <v>0</v>
      </c>
      <c r="E52" s="1664"/>
      <c r="F52" s="1664"/>
      <c r="G52" s="1664"/>
    </row>
    <row r="53" spans="1:7" ht="15" customHeight="1" x14ac:dyDescent="0.2">
      <c r="A53" s="1670"/>
      <c r="B53" s="1664"/>
      <c r="C53" s="1492" t="s">
        <v>2630</v>
      </c>
      <c r="D53" s="1577">
        <v>0</v>
      </c>
      <c r="E53" s="1664"/>
      <c r="F53" s="1664"/>
      <c r="G53" s="1664"/>
    </row>
    <row r="54" spans="1:7" ht="15" customHeight="1" x14ac:dyDescent="0.2">
      <c r="A54" s="1670"/>
      <c r="B54" s="1664"/>
      <c r="C54" s="1492" t="s">
        <v>2631</v>
      </c>
      <c r="D54" s="1577">
        <v>0</v>
      </c>
      <c r="E54" s="1664"/>
      <c r="F54" s="1664"/>
      <c r="G54" s="1664"/>
    </row>
    <row r="55" spans="1:7" ht="15" customHeight="1" thickBot="1" x14ac:dyDescent="0.25">
      <c r="A55" s="1671"/>
      <c r="B55" s="1665"/>
      <c r="C55" s="1490" t="s">
        <v>2632</v>
      </c>
      <c r="D55" s="1578">
        <v>0</v>
      </c>
      <c r="E55" s="1665"/>
      <c r="F55" s="1665"/>
      <c r="G55" s="1665"/>
    </row>
    <row r="56" spans="1:7" s="1140" customFormat="1" ht="21" customHeight="1" thickBot="1" x14ac:dyDescent="0.25">
      <c r="A56" s="1669" t="s">
        <v>628</v>
      </c>
      <c r="B56" s="1663" t="s">
        <v>971</v>
      </c>
      <c r="C56" s="1266" t="s">
        <v>2501</v>
      </c>
      <c r="D56" s="1576"/>
      <c r="E56" s="1663" t="s">
        <v>2894</v>
      </c>
      <c r="F56" s="1663"/>
      <c r="G56" s="1663"/>
    </row>
    <row r="57" spans="1:7" ht="15" customHeight="1" x14ac:dyDescent="0.2">
      <c r="A57" s="1670"/>
      <c r="B57" s="1664"/>
      <c r="C57" s="1488" t="s">
        <v>2633</v>
      </c>
      <c r="D57" s="1577">
        <v>0</v>
      </c>
      <c r="E57" s="1664"/>
      <c r="F57" s="1664"/>
      <c r="G57" s="1664"/>
    </row>
    <row r="58" spans="1:7" ht="15" customHeight="1" x14ac:dyDescent="0.2">
      <c r="A58" s="1670"/>
      <c r="B58" s="1664"/>
      <c r="C58" s="1489" t="s">
        <v>2634</v>
      </c>
      <c r="D58" s="1577">
        <v>0</v>
      </c>
      <c r="E58" s="1664"/>
      <c r="F58" s="1664"/>
      <c r="G58" s="1664"/>
    </row>
    <row r="59" spans="1:7" ht="15" customHeight="1" x14ac:dyDescent="0.2">
      <c r="A59" s="1670"/>
      <c r="B59" s="1664"/>
      <c r="C59" s="1492" t="s">
        <v>2635</v>
      </c>
      <c r="D59" s="1577">
        <v>0</v>
      </c>
      <c r="E59" s="1664"/>
      <c r="F59" s="1664"/>
      <c r="G59" s="1664"/>
    </row>
    <row r="60" spans="1:7" ht="15" customHeight="1" x14ac:dyDescent="0.2">
      <c r="A60" s="1670"/>
      <c r="B60" s="1664"/>
      <c r="C60" s="1492" t="s">
        <v>2636</v>
      </c>
      <c r="D60" s="1577">
        <v>0</v>
      </c>
      <c r="E60" s="1664"/>
      <c r="F60" s="1664"/>
      <c r="G60" s="1664"/>
    </row>
    <row r="61" spans="1:7" ht="15" customHeight="1" x14ac:dyDescent="0.2">
      <c r="A61" s="1670"/>
      <c r="B61" s="1664"/>
      <c r="C61" s="1492" t="s">
        <v>2629</v>
      </c>
      <c r="D61" s="1577">
        <v>0</v>
      </c>
      <c r="E61" s="1664"/>
      <c r="F61" s="1664"/>
      <c r="G61" s="1664"/>
    </row>
    <row r="62" spans="1:7" s="1141" customFormat="1" ht="15" customHeight="1" thickBot="1" x14ac:dyDescent="0.25">
      <c r="A62" s="1671"/>
      <c r="B62" s="1665"/>
      <c r="C62" s="1490" t="s">
        <v>2637</v>
      </c>
      <c r="D62" s="1578">
        <v>0</v>
      </c>
      <c r="E62" s="1665"/>
      <c r="F62" s="1665"/>
      <c r="G62" s="1665"/>
    </row>
    <row r="63" spans="1:7" s="1142" customFormat="1" ht="54" customHeight="1" thickBot="1" x14ac:dyDescent="0.25">
      <c r="A63" s="436" t="s">
        <v>629</v>
      </c>
      <c r="B63" s="1268" t="s">
        <v>1089</v>
      </c>
      <c r="C63" s="1269" t="s">
        <v>2663</v>
      </c>
      <c r="D63" s="1583">
        <v>0</v>
      </c>
      <c r="E63" s="1268" t="s">
        <v>2895</v>
      </c>
      <c r="F63" s="1268"/>
      <c r="G63" s="1268"/>
    </row>
    <row r="64" spans="1:7" s="1140" customFormat="1" ht="21" customHeight="1" thickBot="1" x14ac:dyDescent="0.25">
      <c r="A64" s="1666" t="s">
        <v>630</v>
      </c>
      <c r="B64" s="1663" t="s">
        <v>1312</v>
      </c>
      <c r="C64" s="1266" t="s">
        <v>2524</v>
      </c>
      <c r="D64" s="1576"/>
      <c r="E64" s="1663" t="s">
        <v>2896</v>
      </c>
      <c r="F64" s="1663"/>
      <c r="G64" s="1663"/>
    </row>
    <row r="65" spans="1:7" ht="27" customHeight="1" x14ac:dyDescent="0.2">
      <c r="A65" s="1667"/>
      <c r="B65" s="1664"/>
      <c r="C65" s="1488" t="s">
        <v>2613</v>
      </c>
      <c r="D65" s="1577">
        <v>0</v>
      </c>
      <c r="E65" s="1664"/>
      <c r="F65" s="1664"/>
      <c r="G65" s="1664"/>
    </row>
    <row r="66" spans="1:7" ht="15" customHeight="1" x14ac:dyDescent="0.2">
      <c r="A66" s="1667"/>
      <c r="B66" s="1664"/>
      <c r="C66" s="1489" t="s">
        <v>2573</v>
      </c>
      <c r="D66" s="1577">
        <v>0</v>
      </c>
      <c r="E66" s="1664"/>
      <c r="F66" s="1664"/>
      <c r="G66" s="1664"/>
    </row>
    <row r="67" spans="1:7" ht="15" customHeight="1" x14ac:dyDescent="0.2">
      <c r="A67" s="1667"/>
      <c r="B67" s="1664"/>
      <c r="C67" s="1489" t="s">
        <v>1957</v>
      </c>
      <c r="D67" s="1577">
        <v>0</v>
      </c>
      <c r="E67" s="1664"/>
      <c r="F67" s="1664"/>
      <c r="G67" s="1664"/>
    </row>
    <row r="68" spans="1:7" ht="15" customHeight="1" x14ac:dyDescent="0.2">
      <c r="A68" s="1667"/>
      <c r="B68" s="1664"/>
      <c r="C68" s="1489" t="s">
        <v>1951</v>
      </c>
      <c r="D68" s="1577">
        <v>0</v>
      </c>
      <c r="E68" s="1664"/>
      <c r="F68" s="1664"/>
      <c r="G68" s="1664"/>
    </row>
    <row r="69" spans="1:7" ht="15" customHeight="1" x14ac:dyDescent="0.2">
      <c r="A69" s="1667"/>
      <c r="B69" s="1664"/>
      <c r="C69" s="1489" t="s">
        <v>1958</v>
      </c>
      <c r="D69" s="1577">
        <v>0</v>
      </c>
      <c r="E69" s="1664"/>
      <c r="F69" s="1664"/>
      <c r="G69" s="1664"/>
    </row>
    <row r="70" spans="1:7" ht="15" customHeight="1" x14ac:dyDescent="0.2">
      <c r="A70" s="1667"/>
      <c r="B70" s="1664"/>
      <c r="C70" s="1489" t="s">
        <v>1959</v>
      </c>
      <c r="D70" s="1577">
        <v>0</v>
      </c>
      <c r="E70" s="1664"/>
      <c r="F70" s="1664"/>
      <c r="G70" s="1664"/>
    </row>
    <row r="71" spans="1:7" s="1141" customFormat="1" ht="15" customHeight="1" thickBot="1" x14ac:dyDescent="0.25">
      <c r="A71" s="1668"/>
      <c r="B71" s="1665"/>
      <c r="C71" s="1490" t="s">
        <v>2664</v>
      </c>
      <c r="D71" s="1584">
        <v>0</v>
      </c>
      <c r="E71" s="1665"/>
      <c r="F71" s="1665"/>
      <c r="G71" s="1665"/>
    </row>
    <row r="72" spans="1:7" s="1140" customFormat="1" ht="30" customHeight="1" thickBot="1" x14ac:dyDescent="0.25">
      <c r="A72" s="1666" t="s">
        <v>631</v>
      </c>
      <c r="B72" s="1663" t="s">
        <v>2553</v>
      </c>
      <c r="C72" s="1265" t="s">
        <v>2614</v>
      </c>
      <c r="D72" s="1576"/>
      <c r="E72" s="1663" t="s">
        <v>2549</v>
      </c>
      <c r="F72" s="1663"/>
      <c r="G72" s="1663"/>
    </row>
    <row r="73" spans="1:7" ht="15" customHeight="1" x14ac:dyDescent="0.2">
      <c r="A73" s="1667"/>
      <c r="B73" s="1664"/>
      <c r="C73" s="1493" t="s">
        <v>2628</v>
      </c>
      <c r="D73" s="1585">
        <v>0</v>
      </c>
      <c r="E73" s="1664"/>
      <c r="F73" s="1664"/>
      <c r="G73" s="1664"/>
    </row>
    <row r="74" spans="1:7" ht="15" customHeight="1" x14ac:dyDescent="0.2">
      <c r="A74" s="1667"/>
      <c r="B74" s="1664"/>
      <c r="C74" s="1494" t="s">
        <v>2638</v>
      </c>
      <c r="D74" s="1579">
        <v>0</v>
      </c>
      <c r="E74" s="1664"/>
      <c r="F74" s="1664"/>
      <c r="G74" s="1664"/>
    </row>
    <row r="75" spans="1:7" ht="15" customHeight="1" x14ac:dyDescent="0.2">
      <c r="A75" s="1667"/>
      <c r="B75" s="1664"/>
      <c r="C75" s="1494" t="s">
        <v>2639</v>
      </c>
      <c r="D75" s="1579">
        <v>0</v>
      </c>
      <c r="E75" s="1664"/>
      <c r="F75" s="1664"/>
      <c r="G75" s="1664"/>
    </row>
    <row r="76" spans="1:7" ht="15" customHeight="1" x14ac:dyDescent="0.2">
      <c r="A76" s="1667"/>
      <c r="B76" s="1664"/>
      <c r="C76" s="1494" t="s">
        <v>2640</v>
      </c>
      <c r="D76" s="1579">
        <v>0</v>
      </c>
      <c r="E76" s="1664"/>
      <c r="F76" s="1664"/>
      <c r="G76" s="1664"/>
    </row>
    <row r="77" spans="1:7" ht="15" customHeight="1" x14ac:dyDescent="0.2">
      <c r="A77" s="1667"/>
      <c r="B77" s="1664"/>
      <c r="C77" s="1495" t="s">
        <v>2641</v>
      </c>
      <c r="D77" s="1579">
        <v>0</v>
      </c>
      <c r="E77" s="1664"/>
      <c r="F77" s="1664"/>
      <c r="G77" s="1664"/>
    </row>
    <row r="78" spans="1:7" s="1141" customFormat="1" ht="15" customHeight="1" thickBot="1" x14ac:dyDescent="0.25">
      <c r="A78" s="1668"/>
      <c r="B78" s="1665"/>
      <c r="C78" s="1496" t="s">
        <v>2642</v>
      </c>
      <c r="D78" s="1586">
        <v>0</v>
      </c>
      <c r="E78" s="1665"/>
      <c r="F78" s="1665"/>
      <c r="G78" s="1665"/>
    </row>
    <row r="79" spans="1:7" s="1140" customFormat="1" ht="21" customHeight="1" thickBot="1" x14ac:dyDescent="0.25">
      <c r="A79" s="1666" t="s">
        <v>632</v>
      </c>
      <c r="B79" s="1663" t="s">
        <v>5</v>
      </c>
      <c r="C79" s="1266" t="s">
        <v>2502</v>
      </c>
      <c r="D79" s="1576"/>
      <c r="E79" s="1663" t="s">
        <v>2897</v>
      </c>
      <c r="F79" s="1663"/>
      <c r="G79" s="1663"/>
    </row>
    <row r="80" spans="1:7" ht="15" customHeight="1" x14ac:dyDescent="0.2">
      <c r="A80" s="1667"/>
      <c r="B80" s="1664"/>
      <c r="C80" s="1493" t="s">
        <v>2628</v>
      </c>
      <c r="D80" s="1585">
        <v>0</v>
      </c>
      <c r="E80" s="1664"/>
      <c r="F80" s="1664"/>
      <c r="G80" s="1664"/>
    </row>
    <row r="81" spans="1:7" ht="15" customHeight="1" x14ac:dyDescent="0.2">
      <c r="A81" s="1667"/>
      <c r="B81" s="1664"/>
      <c r="C81" s="1494" t="s">
        <v>2638</v>
      </c>
      <c r="D81" s="1579">
        <v>0</v>
      </c>
      <c r="E81" s="1664"/>
      <c r="F81" s="1664"/>
      <c r="G81" s="1664"/>
    </row>
    <row r="82" spans="1:7" ht="15" customHeight="1" x14ac:dyDescent="0.2">
      <c r="A82" s="1667"/>
      <c r="B82" s="1664"/>
      <c r="C82" s="1494" t="s">
        <v>2631</v>
      </c>
      <c r="D82" s="1579">
        <v>0</v>
      </c>
      <c r="E82" s="1664"/>
      <c r="F82" s="1664"/>
      <c r="G82" s="1664"/>
    </row>
    <row r="83" spans="1:7" ht="15" customHeight="1" x14ac:dyDescent="0.2">
      <c r="A83" s="1667"/>
      <c r="B83" s="1664"/>
      <c r="C83" s="1494" t="s">
        <v>2641</v>
      </c>
      <c r="D83" s="1579">
        <v>0</v>
      </c>
      <c r="E83" s="1664"/>
      <c r="F83" s="1664"/>
      <c r="G83" s="1664"/>
    </row>
    <row r="84" spans="1:7" ht="15" customHeight="1" x14ac:dyDescent="0.2">
      <c r="A84" s="1667"/>
      <c r="B84" s="1664"/>
      <c r="C84" s="1495" t="s">
        <v>2643</v>
      </c>
      <c r="D84" s="1579">
        <v>0</v>
      </c>
      <c r="E84" s="1664"/>
      <c r="F84" s="1664"/>
      <c r="G84" s="1664"/>
    </row>
    <row r="85" spans="1:7" s="1141" customFormat="1" ht="15" customHeight="1" thickBot="1" x14ac:dyDescent="0.25">
      <c r="A85" s="1668"/>
      <c r="B85" s="1665"/>
      <c r="C85" s="1496" t="s">
        <v>2644</v>
      </c>
      <c r="D85" s="1586">
        <v>0</v>
      </c>
      <c r="E85" s="1665"/>
      <c r="F85" s="1665"/>
      <c r="G85" s="1665"/>
    </row>
    <row r="86" spans="1:7" s="1140" customFormat="1" ht="21" customHeight="1" thickBot="1" x14ac:dyDescent="0.25">
      <c r="A86" s="1666" t="s">
        <v>633</v>
      </c>
      <c r="B86" s="1663" t="s">
        <v>1154</v>
      </c>
      <c r="C86" s="1265" t="s">
        <v>1150</v>
      </c>
      <c r="D86" s="1576"/>
      <c r="E86" s="1663" t="s">
        <v>1931</v>
      </c>
      <c r="F86" s="1663" t="s">
        <v>912</v>
      </c>
      <c r="G86" s="1663"/>
    </row>
    <row r="87" spans="1:7" ht="27.75" customHeight="1" x14ac:dyDescent="0.2">
      <c r="A87" s="1667"/>
      <c r="B87" s="1664"/>
      <c r="C87" s="1488" t="s">
        <v>2331</v>
      </c>
      <c r="D87" s="1577">
        <v>0</v>
      </c>
      <c r="E87" s="1664"/>
      <c r="F87" s="1664"/>
      <c r="G87" s="1664"/>
    </row>
    <row r="88" spans="1:7" ht="29.25" customHeight="1" x14ac:dyDescent="0.2">
      <c r="A88" s="1667"/>
      <c r="B88" s="1664"/>
      <c r="C88" s="1489" t="s">
        <v>1151</v>
      </c>
      <c r="D88" s="1577">
        <v>0</v>
      </c>
      <c r="E88" s="1664"/>
      <c r="F88" s="1664"/>
      <c r="G88" s="1664"/>
    </row>
    <row r="89" spans="1:7" ht="15" customHeight="1" x14ac:dyDescent="0.2">
      <c r="A89" s="1667"/>
      <c r="B89" s="1664"/>
      <c r="C89" s="1489" t="s">
        <v>1152</v>
      </c>
      <c r="D89" s="1577">
        <v>0</v>
      </c>
      <c r="E89" s="1664"/>
      <c r="F89" s="1664"/>
      <c r="G89" s="1664"/>
    </row>
    <row r="90" spans="1:7" ht="15" customHeight="1" x14ac:dyDescent="0.2">
      <c r="A90" s="1667"/>
      <c r="B90" s="1664"/>
      <c r="C90" s="1489" t="s">
        <v>1153</v>
      </c>
      <c r="D90" s="1577">
        <v>0</v>
      </c>
      <c r="E90" s="1664"/>
      <c r="F90" s="1664"/>
      <c r="G90" s="1664"/>
    </row>
    <row r="91" spans="1:7" s="1141" customFormat="1" ht="27" customHeight="1" thickBot="1" x14ac:dyDescent="0.25">
      <c r="A91" s="1668"/>
      <c r="B91" s="1665"/>
      <c r="C91" s="1492" t="s">
        <v>2503</v>
      </c>
      <c r="D91" s="1579">
        <v>0</v>
      </c>
      <c r="E91" s="1665"/>
      <c r="F91" s="1665"/>
      <c r="G91" s="1665"/>
    </row>
    <row r="92" spans="1:7" s="1143" customFormat="1" ht="21" customHeight="1" thickBot="1" x14ac:dyDescent="0.25">
      <c r="A92" s="1669" t="s">
        <v>634</v>
      </c>
      <c r="B92" s="1663" t="s">
        <v>2525</v>
      </c>
      <c r="C92" s="1497" t="s">
        <v>2467</v>
      </c>
      <c r="D92" s="1576"/>
      <c r="E92" s="1663" t="s">
        <v>2898</v>
      </c>
      <c r="F92" s="1663"/>
      <c r="G92" s="1663"/>
    </row>
    <row r="93" spans="1:7" s="1140" customFormat="1" ht="27.75" customHeight="1" thickBot="1" x14ac:dyDescent="0.25">
      <c r="A93" s="1670"/>
      <c r="B93" s="1664"/>
      <c r="C93" s="1315" t="s">
        <v>2526</v>
      </c>
      <c r="D93" s="1577">
        <v>0</v>
      </c>
      <c r="E93" s="1664"/>
      <c r="F93" s="1664"/>
      <c r="G93" s="1664"/>
    </row>
    <row r="94" spans="1:7" s="1140" customFormat="1" ht="27" customHeight="1" thickBot="1" x14ac:dyDescent="0.25">
      <c r="A94" s="1670"/>
      <c r="B94" s="1664"/>
      <c r="C94" s="1263" t="s">
        <v>2474</v>
      </c>
      <c r="D94" s="1577">
        <v>0</v>
      </c>
      <c r="E94" s="1664"/>
      <c r="F94" s="1664"/>
      <c r="G94" s="1664"/>
    </row>
    <row r="95" spans="1:7" s="1140" customFormat="1" ht="27" customHeight="1" thickBot="1" x14ac:dyDescent="0.25">
      <c r="A95" s="1670"/>
      <c r="B95" s="1664"/>
      <c r="C95" s="1263" t="s">
        <v>2504</v>
      </c>
      <c r="D95" s="1579">
        <v>0</v>
      </c>
      <c r="E95" s="1664"/>
      <c r="F95" s="1664"/>
      <c r="G95" s="1664"/>
    </row>
    <row r="96" spans="1:7" s="1140" customFormat="1" ht="27" customHeight="1" thickBot="1" x14ac:dyDescent="0.25">
      <c r="A96" s="1671"/>
      <c r="B96" s="1665"/>
      <c r="C96" s="1264" t="s">
        <v>2505</v>
      </c>
      <c r="D96" s="1586">
        <v>0</v>
      </c>
      <c r="E96" s="1665"/>
      <c r="F96" s="1665"/>
      <c r="G96" s="1665"/>
    </row>
    <row r="97" spans="1:7" s="1140" customFormat="1" ht="45" customHeight="1" thickBot="1" x14ac:dyDescent="0.25">
      <c r="A97" s="1281" t="s">
        <v>2562</v>
      </c>
      <c r="B97" s="1268" t="s">
        <v>1302</v>
      </c>
      <c r="C97" s="1491" t="s">
        <v>2903</v>
      </c>
      <c r="D97" s="1587">
        <v>0</v>
      </c>
      <c r="E97" s="1268" t="s">
        <v>2616</v>
      </c>
      <c r="F97" s="1268" t="s">
        <v>2934</v>
      </c>
      <c r="G97" s="1268"/>
    </row>
    <row r="98" spans="1:7" s="1140" customFormat="1" ht="30" customHeight="1" thickBot="1" x14ac:dyDescent="0.25">
      <c r="A98" s="283" t="s">
        <v>635</v>
      </c>
      <c r="B98" s="1267" t="s">
        <v>2489</v>
      </c>
      <c r="C98" s="1266" t="s">
        <v>2904</v>
      </c>
      <c r="D98" s="1585">
        <v>0</v>
      </c>
      <c r="E98" s="1267" t="s">
        <v>2550</v>
      </c>
      <c r="F98" s="1267"/>
      <c r="G98" s="1267" t="s">
        <v>2551</v>
      </c>
    </row>
    <row r="99" spans="1:7" s="1140" customFormat="1" ht="30" customHeight="1" thickBot="1" x14ac:dyDescent="0.25">
      <c r="A99" s="1669" t="s">
        <v>2346</v>
      </c>
      <c r="B99" s="1663" t="s">
        <v>1291</v>
      </c>
      <c r="C99" s="1265" t="s">
        <v>2506</v>
      </c>
      <c r="D99" s="1576"/>
      <c r="E99" s="1663" t="s">
        <v>2482</v>
      </c>
      <c r="F99" s="1663"/>
      <c r="G99" s="1663"/>
    </row>
    <row r="100" spans="1:7" ht="15" customHeight="1" x14ac:dyDescent="0.2">
      <c r="A100" s="1670"/>
      <c r="B100" s="1664"/>
      <c r="C100" s="1488" t="s">
        <v>1884</v>
      </c>
      <c r="D100" s="1579">
        <v>0</v>
      </c>
      <c r="E100" s="1664"/>
      <c r="F100" s="1664"/>
      <c r="G100" s="1664"/>
    </row>
    <row r="101" spans="1:7" ht="15" customHeight="1" x14ac:dyDescent="0.2">
      <c r="A101" s="1670"/>
      <c r="B101" s="1664"/>
      <c r="C101" s="1489" t="s">
        <v>2507</v>
      </c>
      <c r="D101" s="1579">
        <v>0</v>
      </c>
      <c r="E101" s="1664"/>
      <c r="F101" s="1664"/>
      <c r="G101" s="1664"/>
    </row>
    <row r="102" spans="1:7" ht="27.75" customHeight="1" x14ac:dyDescent="0.2">
      <c r="A102" s="1670"/>
      <c r="B102" s="1664"/>
      <c r="C102" s="1489" t="s">
        <v>1885</v>
      </c>
      <c r="D102" s="1579">
        <v>0</v>
      </c>
      <c r="E102" s="1664"/>
      <c r="F102" s="1664"/>
      <c r="G102" s="1664"/>
    </row>
    <row r="103" spans="1:7" s="1141" customFormat="1" ht="27" customHeight="1" thickBot="1" x14ac:dyDescent="0.25">
      <c r="A103" s="1671"/>
      <c r="B103" s="1665"/>
      <c r="C103" s="1490" t="s">
        <v>2508</v>
      </c>
      <c r="D103" s="1579">
        <v>0</v>
      </c>
      <c r="E103" s="1665"/>
      <c r="F103" s="1665"/>
      <c r="G103" s="1665"/>
    </row>
    <row r="104" spans="1:7" s="1140" customFormat="1" ht="21" customHeight="1" thickBot="1" x14ac:dyDescent="0.25">
      <c r="A104" s="1669" t="s">
        <v>648</v>
      </c>
      <c r="B104" s="1663" t="s">
        <v>1292</v>
      </c>
      <c r="C104" s="1266" t="s">
        <v>2509</v>
      </c>
      <c r="D104" s="1576"/>
      <c r="E104" s="1663" t="s">
        <v>2473</v>
      </c>
      <c r="F104" s="1663"/>
      <c r="G104" s="1663"/>
    </row>
    <row r="105" spans="1:7" ht="15" customHeight="1" x14ac:dyDescent="0.2">
      <c r="A105" s="1670"/>
      <c r="B105" s="1664"/>
      <c r="C105" s="1488" t="s">
        <v>1887</v>
      </c>
      <c r="D105" s="1579">
        <v>0</v>
      </c>
      <c r="E105" s="1664"/>
      <c r="F105" s="1664"/>
      <c r="G105" s="1664"/>
    </row>
    <row r="106" spans="1:7" ht="25.5" customHeight="1" x14ac:dyDescent="0.2">
      <c r="A106" s="1670"/>
      <c r="B106" s="1664"/>
      <c r="C106" s="1498" t="s">
        <v>1886</v>
      </c>
      <c r="D106" s="1579">
        <v>0</v>
      </c>
      <c r="E106" s="1664"/>
      <c r="F106" s="1664"/>
      <c r="G106" s="1664"/>
    </row>
    <row r="107" spans="1:7" ht="24.75" customHeight="1" x14ac:dyDescent="0.2">
      <c r="A107" s="1670"/>
      <c r="B107" s="1664"/>
      <c r="C107" s="1489" t="s">
        <v>1885</v>
      </c>
      <c r="D107" s="1579">
        <v>0</v>
      </c>
      <c r="E107" s="1664"/>
      <c r="F107" s="1664"/>
      <c r="G107" s="1664"/>
    </row>
    <row r="108" spans="1:7" s="1141" customFormat="1" ht="30" customHeight="1" thickBot="1" x14ac:dyDescent="0.25">
      <c r="A108" s="1671"/>
      <c r="B108" s="1665"/>
      <c r="C108" s="1490" t="s">
        <v>2508</v>
      </c>
      <c r="D108" s="1579">
        <v>0</v>
      </c>
      <c r="E108" s="1665"/>
      <c r="F108" s="1665"/>
      <c r="G108" s="1665"/>
    </row>
    <row r="109" spans="1:7" s="1140" customFormat="1" ht="66" customHeight="1" thickBot="1" x14ac:dyDescent="0.25">
      <c r="A109" s="1669" t="s">
        <v>636</v>
      </c>
      <c r="B109" s="1663" t="s">
        <v>2326</v>
      </c>
      <c r="C109" s="1499" t="s">
        <v>2491</v>
      </c>
      <c r="D109" s="1576"/>
      <c r="E109" s="1663" t="s">
        <v>2938</v>
      </c>
      <c r="F109" s="1663"/>
      <c r="G109" s="1663"/>
    </row>
    <row r="110" spans="1:7" ht="15" customHeight="1" x14ac:dyDescent="0.2">
      <c r="A110" s="1670"/>
      <c r="B110" s="1664"/>
      <c r="C110" s="1500" t="s">
        <v>2327</v>
      </c>
      <c r="D110" s="1579">
        <v>0</v>
      </c>
      <c r="E110" s="1664"/>
      <c r="F110" s="1664"/>
      <c r="G110" s="1664"/>
    </row>
    <row r="111" spans="1:7" ht="15" customHeight="1" x14ac:dyDescent="0.2">
      <c r="A111" s="1670"/>
      <c r="B111" s="1664"/>
      <c r="C111" s="1494" t="s">
        <v>2645</v>
      </c>
      <c r="D111" s="1579">
        <v>0</v>
      </c>
      <c r="E111" s="1664"/>
      <c r="F111" s="1664"/>
      <c r="G111" s="1664"/>
    </row>
    <row r="112" spans="1:7" ht="15" customHeight="1" x14ac:dyDescent="0.2">
      <c r="A112" s="1670"/>
      <c r="B112" s="1664"/>
      <c r="C112" s="1494" t="s">
        <v>2646</v>
      </c>
      <c r="D112" s="1579">
        <v>0</v>
      </c>
      <c r="E112" s="1664"/>
      <c r="F112" s="1664"/>
      <c r="G112" s="1664"/>
    </row>
    <row r="113" spans="1:7" s="1141" customFormat="1" ht="29.25" customHeight="1" thickBot="1" x14ac:dyDescent="0.25">
      <c r="A113" s="1671"/>
      <c r="B113" s="1665"/>
      <c r="C113" s="1496" t="s">
        <v>2527</v>
      </c>
      <c r="D113" s="1579">
        <v>0</v>
      </c>
      <c r="E113" s="1665"/>
      <c r="F113" s="1665" t="s">
        <v>2382</v>
      </c>
      <c r="G113" s="1665"/>
    </row>
    <row r="114" spans="1:7" s="1140" customFormat="1" ht="30" customHeight="1" thickBot="1" x14ac:dyDescent="0.25">
      <c r="A114" s="1669" t="s">
        <v>649</v>
      </c>
      <c r="B114" s="1663" t="s">
        <v>1168</v>
      </c>
      <c r="C114" s="1266" t="s">
        <v>1687</v>
      </c>
      <c r="D114" s="1576"/>
      <c r="E114" s="1663" t="s">
        <v>2676</v>
      </c>
      <c r="F114" s="1663"/>
      <c r="G114" s="1663"/>
    </row>
    <row r="115" spans="1:7" ht="15" customHeight="1" x14ac:dyDescent="0.2">
      <c r="A115" s="1670"/>
      <c r="B115" s="1664"/>
      <c r="C115" s="1501" t="s">
        <v>2647</v>
      </c>
      <c r="D115" s="1579">
        <v>0</v>
      </c>
      <c r="E115" s="1664"/>
      <c r="F115" s="1664"/>
      <c r="G115" s="1664"/>
    </row>
    <row r="116" spans="1:7" ht="15" customHeight="1" x14ac:dyDescent="0.2">
      <c r="A116" s="1670"/>
      <c r="B116" s="1664"/>
      <c r="C116" s="1489" t="s">
        <v>2648</v>
      </c>
      <c r="D116" s="1579">
        <v>0</v>
      </c>
      <c r="E116" s="1664"/>
      <c r="F116" s="1664"/>
      <c r="G116" s="1664"/>
    </row>
    <row r="117" spans="1:7" s="1141" customFormat="1" ht="15" customHeight="1" thickBot="1" x14ac:dyDescent="0.25">
      <c r="A117" s="1671"/>
      <c r="B117" s="1665"/>
      <c r="C117" s="1490" t="s">
        <v>2649</v>
      </c>
      <c r="D117" s="1579">
        <v>0</v>
      </c>
      <c r="E117" s="1665"/>
      <c r="F117" s="1665"/>
      <c r="G117" s="1665"/>
    </row>
    <row r="118" spans="1:7" s="1140" customFormat="1" ht="126" customHeight="1" thickBot="1" x14ac:dyDescent="0.25">
      <c r="A118" s="1669" t="s">
        <v>999</v>
      </c>
      <c r="B118" s="1663" t="s">
        <v>446</v>
      </c>
      <c r="C118" s="1265" t="s">
        <v>2492</v>
      </c>
      <c r="D118" s="1576"/>
      <c r="E118" s="1663" t="s">
        <v>1932</v>
      </c>
      <c r="F118" s="1663"/>
      <c r="G118" s="1663"/>
    </row>
    <row r="119" spans="1:7" ht="15" customHeight="1" x14ac:dyDescent="0.2">
      <c r="A119" s="1670"/>
      <c r="B119" s="1664"/>
      <c r="C119" s="1488" t="s">
        <v>2650</v>
      </c>
      <c r="D119" s="1579">
        <v>0</v>
      </c>
      <c r="E119" s="1664"/>
      <c r="F119" s="1664"/>
      <c r="G119" s="1664"/>
    </row>
    <row r="120" spans="1:7" ht="15" customHeight="1" x14ac:dyDescent="0.2">
      <c r="A120" s="1670"/>
      <c r="B120" s="1664"/>
      <c r="C120" s="1489" t="s">
        <v>2651</v>
      </c>
      <c r="D120" s="1579">
        <v>0</v>
      </c>
      <c r="E120" s="1664"/>
      <c r="F120" s="1664"/>
      <c r="G120" s="1664"/>
    </row>
    <row r="121" spans="1:7" s="1141" customFormat="1" ht="15" customHeight="1" thickBot="1" x14ac:dyDescent="0.25">
      <c r="A121" s="1671"/>
      <c r="B121" s="1665"/>
      <c r="C121" s="1490" t="s">
        <v>2652</v>
      </c>
      <c r="D121" s="1579">
        <v>0</v>
      </c>
      <c r="E121" s="1665"/>
      <c r="F121" s="1665"/>
      <c r="G121" s="1665"/>
    </row>
    <row r="122" spans="1:7" s="1140" customFormat="1" ht="21" customHeight="1" thickBot="1" x14ac:dyDescent="0.25">
      <c r="A122" s="1669" t="s">
        <v>1000</v>
      </c>
      <c r="B122" s="1663" t="s">
        <v>54</v>
      </c>
      <c r="C122" s="1266" t="s">
        <v>2379</v>
      </c>
      <c r="D122" s="1576"/>
      <c r="E122" s="1663" t="s">
        <v>2675</v>
      </c>
      <c r="F122" s="1663"/>
      <c r="G122" s="1663"/>
    </row>
    <row r="123" spans="1:7" ht="15" customHeight="1" x14ac:dyDescent="0.2">
      <c r="A123" s="1670"/>
      <c r="B123" s="1664"/>
      <c r="C123" s="1488" t="s">
        <v>1425</v>
      </c>
      <c r="D123" s="1579">
        <v>0</v>
      </c>
      <c r="E123" s="1664"/>
      <c r="F123" s="1664"/>
      <c r="G123" s="1664"/>
    </row>
    <row r="124" spans="1:7" ht="15" customHeight="1" x14ac:dyDescent="0.2">
      <c r="A124" s="1670"/>
      <c r="B124" s="1664"/>
      <c r="C124" s="1489" t="s">
        <v>1426</v>
      </c>
      <c r="D124" s="1579">
        <v>0</v>
      </c>
      <c r="E124" s="1664"/>
      <c r="F124" s="1664"/>
      <c r="G124" s="1664"/>
    </row>
    <row r="125" spans="1:7" s="1141" customFormat="1" ht="15" customHeight="1" thickBot="1" x14ac:dyDescent="0.25">
      <c r="A125" s="1671"/>
      <c r="B125" s="1665"/>
      <c r="C125" s="1490" t="s">
        <v>2665</v>
      </c>
      <c r="D125" s="1579">
        <v>0</v>
      </c>
      <c r="E125" s="1665"/>
      <c r="F125" s="1665"/>
      <c r="G125" s="1665"/>
    </row>
    <row r="126" spans="1:7" s="1140" customFormat="1" ht="21" customHeight="1" thickBot="1" x14ac:dyDescent="0.25">
      <c r="A126" s="1669" t="s">
        <v>637</v>
      </c>
      <c r="B126" s="1663" t="s">
        <v>1090</v>
      </c>
      <c r="C126" s="1265" t="s">
        <v>1899</v>
      </c>
      <c r="D126" s="1576"/>
      <c r="E126" s="1663" t="s">
        <v>2900</v>
      </c>
      <c r="F126" s="1663"/>
      <c r="G126" s="1663"/>
    </row>
    <row r="127" spans="1:7" ht="15" customHeight="1" x14ac:dyDescent="0.2">
      <c r="A127" s="1670"/>
      <c r="B127" s="1664"/>
      <c r="C127" s="1488" t="s">
        <v>2633</v>
      </c>
      <c r="D127" s="1579">
        <v>0</v>
      </c>
      <c r="E127" s="1664"/>
      <c r="F127" s="1664"/>
      <c r="G127" s="1664"/>
    </row>
    <row r="128" spans="1:7" ht="15" customHeight="1" x14ac:dyDescent="0.2">
      <c r="A128" s="1670"/>
      <c r="B128" s="1664"/>
      <c r="C128" s="1489" t="s">
        <v>2653</v>
      </c>
      <c r="D128" s="1579">
        <v>0</v>
      </c>
      <c r="E128" s="1664"/>
      <c r="F128" s="1664"/>
      <c r="G128" s="1664"/>
    </row>
    <row r="129" spans="1:7" ht="15" customHeight="1" x14ac:dyDescent="0.2">
      <c r="A129" s="1670"/>
      <c r="B129" s="1664"/>
      <c r="C129" s="1492" t="s">
        <v>2636</v>
      </c>
      <c r="D129" s="1579">
        <v>0</v>
      </c>
      <c r="E129" s="1664"/>
      <c r="F129" s="1664"/>
      <c r="G129" s="1664"/>
    </row>
    <row r="130" spans="1:7" ht="15" customHeight="1" x14ac:dyDescent="0.2">
      <c r="A130" s="1670"/>
      <c r="B130" s="1664"/>
      <c r="C130" s="1492" t="s">
        <v>2654</v>
      </c>
      <c r="D130" s="1579">
        <v>0</v>
      </c>
      <c r="E130" s="1664"/>
      <c r="F130" s="1664"/>
      <c r="G130" s="1664"/>
    </row>
    <row r="131" spans="1:7" ht="15" customHeight="1" x14ac:dyDescent="0.2">
      <c r="A131" s="1670"/>
      <c r="B131" s="1664"/>
      <c r="C131" s="1492" t="s">
        <v>2655</v>
      </c>
      <c r="D131" s="1579">
        <v>0</v>
      </c>
      <c r="E131" s="1664"/>
      <c r="F131" s="1664"/>
      <c r="G131" s="1664"/>
    </row>
    <row r="132" spans="1:7" s="1141" customFormat="1" ht="15" customHeight="1" thickBot="1" x14ac:dyDescent="0.25">
      <c r="A132" s="1671"/>
      <c r="B132" s="1665"/>
      <c r="C132" s="1490" t="s">
        <v>2574</v>
      </c>
      <c r="D132" s="1586">
        <v>0</v>
      </c>
      <c r="E132" s="1665"/>
      <c r="F132" s="1665"/>
      <c r="G132" s="1665"/>
    </row>
    <row r="133" spans="1:7" s="1140" customFormat="1" ht="30" customHeight="1" thickBot="1" x14ac:dyDescent="0.25">
      <c r="A133" s="283" t="s">
        <v>1960</v>
      </c>
      <c r="B133" s="1267" t="s">
        <v>1296</v>
      </c>
      <c r="C133" s="1266" t="s">
        <v>2939</v>
      </c>
      <c r="D133" s="1588"/>
      <c r="E133" s="1267" t="s">
        <v>2483</v>
      </c>
      <c r="F133" s="1267" t="s">
        <v>2935</v>
      </c>
      <c r="G133" s="1267"/>
    </row>
    <row r="134" spans="1:7" s="1140" customFormat="1" ht="21" customHeight="1" thickBot="1" x14ac:dyDescent="0.25">
      <c r="A134" s="1669" t="s">
        <v>638</v>
      </c>
      <c r="B134" s="1663" t="s">
        <v>4</v>
      </c>
      <c r="C134" s="1265" t="s">
        <v>2859</v>
      </c>
      <c r="D134" s="1576"/>
      <c r="E134" s="1663" t="s">
        <v>2899</v>
      </c>
      <c r="F134" s="1663"/>
      <c r="G134" s="1663"/>
    </row>
    <row r="135" spans="1:7" ht="42" customHeight="1" x14ac:dyDescent="0.2">
      <c r="A135" s="1670"/>
      <c r="B135" s="1664"/>
      <c r="C135" s="1488" t="s">
        <v>2905</v>
      </c>
      <c r="D135" s="1579">
        <v>0</v>
      </c>
      <c r="E135" s="1664"/>
      <c r="F135" s="1664"/>
      <c r="G135" s="1664"/>
    </row>
    <row r="136" spans="1:7" ht="27" customHeight="1" x14ac:dyDescent="0.2">
      <c r="A136" s="1670"/>
      <c r="B136" s="1664"/>
      <c r="C136" s="1489" t="s">
        <v>2666</v>
      </c>
      <c r="D136" s="1579">
        <v>0</v>
      </c>
      <c r="E136" s="1664"/>
      <c r="F136" s="1664"/>
      <c r="G136" s="1664"/>
    </row>
    <row r="137" spans="1:7" ht="15.75" customHeight="1" x14ac:dyDescent="0.2">
      <c r="A137" s="1670"/>
      <c r="B137" s="1664"/>
      <c r="C137" s="1498" t="s">
        <v>2667</v>
      </c>
      <c r="D137" s="1579">
        <v>0</v>
      </c>
      <c r="E137" s="1664"/>
      <c r="F137" s="1664"/>
      <c r="G137" s="1664"/>
    </row>
    <row r="138" spans="1:7" ht="15" customHeight="1" thickBot="1" x14ac:dyDescent="0.25">
      <c r="A138" s="1671"/>
      <c r="B138" s="1665"/>
      <c r="C138" s="1502" t="s">
        <v>2668</v>
      </c>
      <c r="D138" s="1586">
        <v>0</v>
      </c>
      <c r="E138" s="1665"/>
      <c r="F138" s="1665"/>
      <c r="G138" s="1665"/>
    </row>
    <row r="139" spans="1:7" ht="32.25" customHeight="1" thickBot="1" x14ac:dyDescent="0.25">
      <c r="A139" s="1669" t="s">
        <v>639</v>
      </c>
      <c r="B139" s="1663" t="s">
        <v>1294</v>
      </c>
      <c r="C139" s="1266" t="s">
        <v>2510</v>
      </c>
      <c r="D139" s="1576"/>
      <c r="E139" s="1663" t="s">
        <v>2480</v>
      </c>
      <c r="F139" s="1663"/>
      <c r="G139" s="1663"/>
    </row>
    <row r="140" spans="1:7" ht="30" customHeight="1" x14ac:dyDescent="0.2">
      <c r="A140" s="1670"/>
      <c r="B140" s="1664"/>
      <c r="C140" s="1488" t="s">
        <v>2936</v>
      </c>
      <c r="D140" s="1579">
        <v>0</v>
      </c>
      <c r="E140" s="1664"/>
      <c r="F140" s="1664"/>
      <c r="G140" s="1664"/>
    </row>
    <row r="141" spans="1:7" ht="27" customHeight="1" x14ac:dyDescent="0.2">
      <c r="A141" s="1670"/>
      <c r="B141" s="1664"/>
      <c r="C141" s="1489" t="s">
        <v>2511</v>
      </c>
      <c r="D141" s="1579">
        <v>0</v>
      </c>
      <c r="E141" s="1664"/>
      <c r="F141" s="1664"/>
      <c r="G141" s="1664"/>
    </row>
    <row r="142" spans="1:7" ht="27" customHeight="1" x14ac:dyDescent="0.2">
      <c r="A142" s="1670"/>
      <c r="B142" s="1664"/>
      <c r="C142" s="1489" t="s">
        <v>2512</v>
      </c>
      <c r="D142" s="1579">
        <v>0</v>
      </c>
      <c r="E142" s="1664"/>
      <c r="F142" s="1664"/>
      <c r="G142" s="1664"/>
    </row>
    <row r="143" spans="1:7" ht="27" customHeight="1" x14ac:dyDescent="0.2">
      <c r="A143" s="1670"/>
      <c r="B143" s="1664"/>
      <c r="C143" s="1489" t="s">
        <v>2513</v>
      </c>
      <c r="D143" s="1579">
        <v>0</v>
      </c>
      <c r="E143" s="1664"/>
      <c r="F143" s="1664"/>
      <c r="G143" s="1664"/>
    </row>
    <row r="144" spans="1:7" ht="15" customHeight="1" thickBot="1" x14ac:dyDescent="0.25">
      <c r="A144" s="1671"/>
      <c r="B144" s="1665"/>
      <c r="C144" s="1490" t="s">
        <v>2669</v>
      </c>
      <c r="D144" s="1586">
        <v>0</v>
      </c>
      <c r="E144" s="1665"/>
      <c r="F144" s="1665"/>
      <c r="G144" s="1665"/>
    </row>
    <row r="145" spans="1:7" s="1143" customFormat="1" ht="30" customHeight="1" thickBot="1" x14ac:dyDescent="0.25">
      <c r="A145" s="1156" t="s">
        <v>640</v>
      </c>
      <c r="B145" s="1270" t="s">
        <v>2383</v>
      </c>
      <c r="C145" s="1491" t="s">
        <v>2514</v>
      </c>
      <c r="D145" s="1589">
        <v>0</v>
      </c>
      <c r="E145" s="1270" t="s">
        <v>2475</v>
      </c>
      <c r="F145" s="1270"/>
      <c r="G145" s="1270"/>
    </row>
    <row r="146" spans="1:7" s="1143" customFormat="1" ht="45" customHeight="1" thickBot="1" x14ac:dyDescent="0.25">
      <c r="A146" s="283" t="s">
        <v>641</v>
      </c>
      <c r="B146" s="1267" t="s">
        <v>1492</v>
      </c>
      <c r="C146" s="1491" t="s">
        <v>2670</v>
      </c>
      <c r="D146" s="1590">
        <v>0</v>
      </c>
      <c r="E146" s="1267" t="s">
        <v>2481</v>
      </c>
      <c r="F146" s="1267"/>
      <c r="G146" s="1267"/>
    </row>
    <row r="147" spans="1:7" s="1144" customFormat="1" ht="45" customHeight="1" thickBot="1" x14ac:dyDescent="0.25">
      <c r="A147" s="283" t="s">
        <v>642</v>
      </c>
      <c r="B147" s="1267" t="s">
        <v>2477</v>
      </c>
      <c r="C147" s="1266" t="s">
        <v>2901</v>
      </c>
      <c r="D147" s="1591"/>
      <c r="E147" s="1267" t="s">
        <v>2476</v>
      </c>
      <c r="F147" s="1267"/>
      <c r="G147" s="1267"/>
    </row>
    <row r="148" spans="1:7" s="1141" customFormat="1" ht="54.75" customHeight="1" thickBot="1" x14ac:dyDescent="0.25">
      <c r="A148" s="283" t="s">
        <v>643</v>
      </c>
      <c r="B148" s="1267" t="s">
        <v>1293</v>
      </c>
      <c r="C148" s="1491" t="s">
        <v>2902</v>
      </c>
      <c r="D148" s="1586">
        <v>0</v>
      </c>
      <c r="E148" s="1267" t="s">
        <v>1933</v>
      </c>
      <c r="F148" s="1267"/>
      <c r="G148" s="1267"/>
    </row>
    <row r="149" spans="1:7" s="1143" customFormat="1" ht="41.25" customHeight="1" thickBot="1" x14ac:dyDescent="0.25">
      <c r="A149" s="283" t="s">
        <v>644</v>
      </c>
      <c r="B149" s="1270" t="s">
        <v>1</v>
      </c>
      <c r="C149" s="1503" t="s">
        <v>2656</v>
      </c>
      <c r="D149" s="1592"/>
      <c r="E149" s="1270" t="s">
        <v>1933</v>
      </c>
      <c r="F149" s="1270"/>
      <c r="G149" s="1270"/>
    </row>
    <row r="150" spans="1:7" s="1143" customFormat="1" ht="30" customHeight="1" thickBot="1" x14ac:dyDescent="0.25">
      <c r="A150" s="283" t="s">
        <v>645</v>
      </c>
      <c r="B150" s="1267" t="s">
        <v>2</v>
      </c>
      <c r="C150" s="1491" t="s">
        <v>2515</v>
      </c>
      <c r="D150" s="1591"/>
      <c r="E150" s="1267" t="s">
        <v>1933</v>
      </c>
      <c r="F150" s="1267"/>
      <c r="G150" s="1267"/>
    </row>
    <row r="151" spans="1:7" s="1143" customFormat="1" ht="45" customHeight="1" thickBot="1" x14ac:dyDescent="0.25">
      <c r="A151" s="283" t="s">
        <v>1800</v>
      </c>
      <c r="B151" s="1267" t="s">
        <v>81</v>
      </c>
      <c r="C151" s="1491" t="s">
        <v>2657</v>
      </c>
      <c r="D151" s="1589"/>
      <c r="E151" s="1267" t="s">
        <v>1933</v>
      </c>
      <c r="F151" s="1267"/>
      <c r="G151" s="1267"/>
    </row>
    <row r="152" spans="1:7" s="1143" customFormat="1" ht="59.25" customHeight="1" thickBot="1" x14ac:dyDescent="0.25">
      <c r="A152" s="283" t="s">
        <v>646</v>
      </c>
      <c r="B152" s="1267" t="s">
        <v>1295</v>
      </c>
      <c r="C152" s="1266" t="s">
        <v>2889</v>
      </c>
      <c r="D152" s="1593">
        <v>0</v>
      </c>
      <c r="E152" s="1267" t="s">
        <v>2890</v>
      </c>
      <c r="F152" s="1267"/>
      <c r="G152" s="1267"/>
    </row>
    <row r="153" spans="1:7" s="1145" customFormat="1" ht="30" customHeight="1" thickBot="1" x14ac:dyDescent="0.25">
      <c r="A153" s="1669" t="s">
        <v>647</v>
      </c>
      <c r="B153" s="1663" t="s">
        <v>1280</v>
      </c>
      <c r="C153" s="1499" t="s">
        <v>2927</v>
      </c>
      <c r="D153" s="1594"/>
      <c r="E153" s="1663" t="s">
        <v>2677</v>
      </c>
      <c r="F153" s="1663"/>
      <c r="G153" s="1663"/>
    </row>
    <row r="154" spans="1:7" s="1145" customFormat="1" ht="39" customHeight="1" x14ac:dyDescent="0.2">
      <c r="A154" s="1670"/>
      <c r="B154" s="1664"/>
      <c r="C154" s="1493" t="s">
        <v>2493</v>
      </c>
      <c r="D154" s="1577">
        <v>0</v>
      </c>
      <c r="E154" s="1664"/>
      <c r="F154" s="1664"/>
      <c r="G154" s="1664"/>
    </row>
    <row r="155" spans="1:7" s="1145" customFormat="1" ht="15" customHeight="1" x14ac:dyDescent="0.2">
      <c r="A155" s="1670"/>
      <c r="B155" s="1664"/>
      <c r="C155" s="1494" t="s">
        <v>2671</v>
      </c>
      <c r="D155" s="1577">
        <v>0</v>
      </c>
      <c r="E155" s="1664"/>
      <c r="F155" s="1664"/>
      <c r="G155" s="1664"/>
    </row>
    <row r="156" spans="1:7" s="1145" customFormat="1" ht="29.25" customHeight="1" x14ac:dyDescent="0.2">
      <c r="A156" s="1670"/>
      <c r="B156" s="1664"/>
      <c r="C156" s="1489" t="s">
        <v>2672</v>
      </c>
      <c r="D156" s="1582">
        <v>0</v>
      </c>
      <c r="E156" s="1664"/>
      <c r="F156" s="1664"/>
      <c r="G156" s="1664"/>
    </row>
    <row r="157" spans="1:7" s="1145" customFormat="1" ht="15" customHeight="1" thickBot="1" x14ac:dyDescent="0.25">
      <c r="A157" s="1671"/>
      <c r="B157" s="1665"/>
      <c r="C157" s="1490" t="s">
        <v>2673</v>
      </c>
      <c r="D157" s="1584">
        <v>0</v>
      </c>
      <c r="E157" s="1665"/>
      <c r="F157" s="1665"/>
      <c r="G157" s="1665"/>
    </row>
    <row r="158" spans="1:7" ht="15" customHeight="1" x14ac:dyDescent="0.2">
      <c r="D158" s="1362"/>
    </row>
    <row r="159" spans="1:7" ht="15" customHeight="1" x14ac:dyDescent="0.2">
      <c r="D159" s="1362"/>
    </row>
    <row r="160" spans="1:7" ht="15" customHeight="1" x14ac:dyDescent="0.2">
      <c r="C160" s="1148" t="s">
        <v>912</v>
      </c>
      <c r="D160" s="1362"/>
    </row>
    <row r="161" spans="3:3" ht="15" customHeight="1" x14ac:dyDescent="0.2">
      <c r="C161" s="1148" t="s">
        <v>912</v>
      </c>
    </row>
  </sheetData>
  <sheetProtection formatCells="0" formatColumns="0" formatRows="0" insertColumns="0" insertRows="0"/>
  <customSheetViews>
    <customSheetView guid="{B8E02330-2419-4DE6-AD01-7ACC7A5D18DD}" scale="90" topLeftCell="A227">
      <selection activeCell="C248" sqref="C248"/>
      <rowBreaks count="9" manualBreakCount="9">
        <brk id="17" max="4" man="1"/>
        <brk id="48" max="4" man="1"/>
        <brk id="76" max="4" man="1"/>
        <brk id="111" max="4" man="1"/>
        <brk id="130" max="4" man="1"/>
        <brk id="150" max="4" man="1"/>
        <brk id="169" max="4" man="1"/>
        <brk id="189" max="4" man="1"/>
        <brk id="215" max="4" man="1"/>
      </rowBreaks>
      <pageMargins left="0.25" right="0.25" top="0.75" bottom="0.75" header="0.3" footer="0.3"/>
      <printOptions headings="1"/>
      <pageSetup scale="75" orientation="landscape" r:id="rId1"/>
      <headerFooter alignWithMargins="0">
        <oddFooter>&amp;LWESPUS beta version 1, by Dr. Paul Adamus&amp;R&amp;P&amp;N</oddFooter>
      </headerFooter>
    </customSheetView>
  </customSheetViews>
  <mergeCells count="122">
    <mergeCell ref="A126:A132"/>
    <mergeCell ref="A134:A138"/>
    <mergeCell ref="A139:A144"/>
    <mergeCell ref="A153:A157"/>
    <mergeCell ref="B122:B125"/>
    <mergeCell ref="B109:B113"/>
    <mergeCell ref="E134:E138"/>
    <mergeCell ref="E114:E117"/>
    <mergeCell ref="E118:E121"/>
    <mergeCell ref="E122:E125"/>
    <mergeCell ref="B114:B117"/>
    <mergeCell ref="B126:B132"/>
    <mergeCell ref="B134:B138"/>
    <mergeCell ref="B118:B121"/>
    <mergeCell ref="A1:B1"/>
    <mergeCell ref="D1:E1"/>
    <mergeCell ref="A41:A46"/>
    <mergeCell ref="A47:A49"/>
    <mergeCell ref="A50:A55"/>
    <mergeCell ref="A56:A62"/>
    <mergeCell ref="A64:A71"/>
    <mergeCell ref="A72:A78"/>
    <mergeCell ref="A79:A85"/>
    <mergeCell ref="A31:A38"/>
    <mergeCell ref="B31:B38"/>
    <mergeCell ref="B47:B49"/>
    <mergeCell ref="B79:B85"/>
    <mergeCell ref="A86:A91"/>
    <mergeCell ref="A92:A96"/>
    <mergeCell ref="A99:A103"/>
    <mergeCell ref="A104:A108"/>
    <mergeCell ref="A109:A113"/>
    <mergeCell ref="A114:A117"/>
    <mergeCell ref="A118:A121"/>
    <mergeCell ref="A122:A125"/>
    <mergeCell ref="A2:E2"/>
    <mergeCell ref="E92:E96"/>
    <mergeCell ref="B92:B96"/>
    <mergeCell ref="E9:E15"/>
    <mergeCell ref="E16:E22"/>
    <mergeCell ref="B64:B71"/>
    <mergeCell ref="B56:B62"/>
    <mergeCell ref="B41:B46"/>
    <mergeCell ref="B50:B55"/>
    <mergeCell ref="E64:E71"/>
    <mergeCell ref="E79:E85"/>
    <mergeCell ref="E86:E91"/>
    <mergeCell ref="A4:A8"/>
    <mergeCell ref="A9:A15"/>
    <mergeCell ref="A16:A22"/>
    <mergeCell ref="A23:A30"/>
    <mergeCell ref="B86:B91"/>
    <mergeCell ref="B72:B78"/>
    <mergeCell ref="E56:E62"/>
    <mergeCell ref="E153:E157"/>
    <mergeCell ref="B153:B157"/>
    <mergeCell ref="B4:B8"/>
    <mergeCell ref="E4:E8"/>
    <mergeCell ref="E139:E144"/>
    <mergeCell ref="E23:E30"/>
    <mergeCell ref="E31:E38"/>
    <mergeCell ref="E41:E46"/>
    <mergeCell ref="E47:E49"/>
    <mergeCell ref="E72:E78"/>
    <mergeCell ref="E126:E132"/>
    <mergeCell ref="E50:E55"/>
    <mergeCell ref="B9:B15"/>
    <mergeCell ref="B23:B30"/>
    <mergeCell ref="B16:B22"/>
    <mergeCell ref="E109:E113"/>
    <mergeCell ref="E104:E108"/>
    <mergeCell ref="B99:B103"/>
    <mergeCell ref="B104:B108"/>
    <mergeCell ref="E99:E103"/>
    <mergeCell ref="B139:B144"/>
    <mergeCell ref="F92:F96"/>
    <mergeCell ref="F99:F103"/>
    <mergeCell ref="F41:F46"/>
    <mergeCell ref="F47:F49"/>
    <mergeCell ref="F50:F55"/>
    <mergeCell ref="F56:F62"/>
    <mergeCell ref="F64:F71"/>
    <mergeCell ref="F9:F15"/>
    <mergeCell ref="F16:F22"/>
    <mergeCell ref="F23:F30"/>
    <mergeCell ref="F31:F38"/>
    <mergeCell ref="F126:F132"/>
    <mergeCell ref="F134:F138"/>
    <mergeCell ref="F139:F144"/>
    <mergeCell ref="F153:F157"/>
    <mergeCell ref="G4:G8"/>
    <mergeCell ref="G9:G15"/>
    <mergeCell ref="G16:G22"/>
    <mergeCell ref="G23:G30"/>
    <mergeCell ref="G31:G38"/>
    <mergeCell ref="G41:G46"/>
    <mergeCell ref="G47:G49"/>
    <mergeCell ref="G50:G55"/>
    <mergeCell ref="G56:G62"/>
    <mergeCell ref="G64:G71"/>
    <mergeCell ref="G72:G78"/>
    <mergeCell ref="G79:G85"/>
    <mergeCell ref="F104:F108"/>
    <mergeCell ref="F109:F113"/>
    <mergeCell ref="F114:F117"/>
    <mergeCell ref="F118:F121"/>
    <mergeCell ref="F122:F125"/>
    <mergeCell ref="F72:F78"/>
    <mergeCell ref="F79:F85"/>
    <mergeCell ref="F86:F91"/>
    <mergeCell ref="G139:G144"/>
    <mergeCell ref="G153:G157"/>
    <mergeCell ref="G114:G117"/>
    <mergeCell ref="G118:G121"/>
    <mergeCell ref="G122:G125"/>
    <mergeCell ref="G126:G132"/>
    <mergeCell ref="G134:G138"/>
    <mergeCell ref="G86:G91"/>
    <mergeCell ref="G92:G96"/>
    <mergeCell ref="G99:G103"/>
    <mergeCell ref="G104:G108"/>
    <mergeCell ref="G109:G113"/>
  </mergeCells>
  <phoneticPr fontId="3" type="noConversion"/>
  <conditionalFormatting sqref="A2">
    <cfRule type="duplicateValues" dxfId="16" priority="7"/>
  </conditionalFormatting>
  <conditionalFormatting sqref="A97:A99 A1 A9 A16 A23 A31 A39:A41 A3:A4 A47 A50 A56 A63:A64 A72 A79 A86 A92 A104 A109 A114 A118 A122 A126 A133:A134 A139 A145:A153 A158:A1048576">
    <cfRule type="duplicateValues" dxfId="15" priority="50"/>
  </conditionalFormatting>
  <conditionalFormatting sqref="B109">
    <cfRule type="cellIs" dxfId="14" priority="68" stopIfTrue="1" operator="equal">
      <formula>1</formula>
    </cfRule>
  </conditionalFormatting>
  <conditionalFormatting sqref="C10:C15">
    <cfRule type="cellIs" dxfId="13" priority="8" stopIfTrue="1" operator="equal">
      <formula>1</formula>
    </cfRule>
  </conditionalFormatting>
  <conditionalFormatting sqref="C17:C22">
    <cfRule type="cellIs" dxfId="12" priority="9" stopIfTrue="1" operator="equal">
      <formula>1</formula>
    </cfRule>
  </conditionalFormatting>
  <conditionalFormatting sqref="C24:C30 C51:C55 C57:C62 C73:C78 C80:C85 C127:C132 C156:C157">
    <cfRule type="cellIs" dxfId="11" priority="10" stopIfTrue="1" operator="equal">
      <formula>1</formula>
    </cfRule>
  </conditionalFormatting>
  <conditionalFormatting sqref="D2">
    <cfRule type="cellIs" dxfId="10" priority="3" operator="greaterThan">
      <formula>0</formula>
    </cfRule>
  </conditionalFormatting>
  <conditionalFormatting sqref="D4:D1048576">
    <cfRule type="cellIs" dxfId="9" priority="1" operator="greaterThan">
      <formula>0</formula>
    </cfRule>
  </conditionalFormatting>
  <conditionalFormatting sqref="E109:G109">
    <cfRule type="cellIs" dxfId="8" priority="2" stopIfTrue="1" operator="equal">
      <formula>1</formula>
    </cfRule>
  </conditionalFormatting>
  <dataValidations count="1">
    <dataValidation type="whole" allowBlank="1" showInputMessage="1" showErrorMessage="1" sqref="D154:D157 D149" xr:uid="{2E5CE0C7-4E2B-41CA-BB61-D0A978C20244}">
      <formula1>0</formula1>
      <formula2>1</formula2>
    </dataValidation>
  </dataValidations>
  <printOptions headings="1"/>
  <pageMargins left="0.25" right="0.25" top="0.75" bottom="0.75" header="0.3" footer="0.3"/>
  <pageSetup scale="70" orientation="landscape" r:id="rId2"/>
  <headerFooter alignWithMargins="0">
    <oddFooter>&amp;CForm OF Non-tidal&amp;R&amp;P</oddFooter>
  </headerFooter>
  <rowBreaks count="3" manualBreakCount="3">
    <brk id="30" max="4" man="1"/>
    <brk id="85" max="4" man="1"/>
    <brk id="98" max="4"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8"/>
  <dimension ref="A1:J398"/>
  <sheetViews>
    <sheetView topLeftCell="A116" zoomScaleNormal="100" workbookViewId="0">
      <selection activeCell="G136" sqref="G136"/>
    </sheetView>
  </sheetViews>
  <sheetFormatPr defaultColWidth="9.33203125" defaultRowHeight="16.5" x14ac:dyDescent="0.2"/>
  <cols>
    <col min="1" max="1" width="5.83203125" style="17" customWidth="1"/>
    <col min="2" max="2" width="18.83203125" style="17" customWidth="1"/>
    <col min="3" max="3" width="75.83203125" style="17" customWidth="1"/>
    <col min="4" max="6" width="7.83203125" style="562" customWidth="1"/>
    <col min="7" max="7" width="9.83203125" style="563" customWidth="1"/>
    <col min="8" max="8" width="64.83203125" style="19" customWidth="1"/>
    <col min="9" max="9" width="11.6640625" style="19" customWidth="1"/>
    <col min="10" max="10" width="9.33203125" style="56"/>
    <col min="11" max="16384" width="9.33203125" style="17"/>
  </cols>
  <sheetData>
    <row r="1" spans="1:10" s="1448" customFormat="1" ht="69" customHeight="1" thickBot="1" x14ac:dyDescent="0.25">
      <c r="A1" s="1868" t="s">
        <v>2439</v>
      </c>
      <c r="B1" s="1869"/>
      <c r="C1" s="1407" t="s">
        <v>1084</v>
      </c>
      <c r="D1" s="1408" t="s">
        <v>1072</v>
      </c>
      <c r="E1" s="2126"/>
      <c r="F1" s="2127"/>
      <c r="G1" s="2127"/>
      <c r="H1" s="2127"/>
      <c r="I1" s="2127"/>
      <c r="J1" s="247"/>
    </row>
    <row r="2" spans="1:10" s="86" customFormat="1" ht="36" customHeight="1" thickBot="1" x14ac:dyDescent="0.25">
      <c r="A2" s="861" t="s">
        <v>88</v>
      </c>
      <c r="B2" s="833" t="s">
        <v>1424</v>
      </c>
      <c r="C2" s="862" t="s">
        <v>1164</v>
      </c>
      <c r="D2" s="833" t="s">
        <v>45</v>
      </c>
      <c r="E2" s="904" t="s">
        <v>1188</v>
      </c>
      <c r="F2" s="905" t="s">
        <v>1189</v>
      </c>
      <c r="G2" s="906" t="s">
        <v>2558</v>
      </c>
      <c r="H2" s="833" t="s">
        <v>1117</v>
      </c>
      <c r="I2" s="895" t="s">
        <v>2427</v>
      </c>
    </row>
    <row r="3" spans="1:10" ht="30" customHeight="1" thickBot="1" x14ac:dyDescent="0.25">
      <c r="A3" s="2091" t="str">
        <f>OF!A9</f>
        <v>OF2</v>
      </c>
      <c r="B3" s="2091" t="str">
        <f>OF!B9</f>
        <v xml:space="preserve">Ponded Area Within 1 km.  </v>
      </c>
      <c r="C3" s="523" t="str">
        <f>OF!C9</f>
        <v>The area of surface water ponded during most of the growing season that is both (1) in or adjacent to the AA and (2) within 1 km is:</v>
      </c>
      <c r="D3" s="546"/>
      <c r="E3" s="534"/>
      <c r="F3" s="534"/>
      <c r="G3" s="558">
        <f>MAX(F4:F9)/MAX(E4:E9)</f>
        <v>0</v>
      </c>
      <c r="H3" s="1669" t="s">
        <v>1608</v>
      </c>
      <c r="I3" s="1669" t="s">
        <v>2867</v>
      </c>
    </row>
    <row r="4" spans="1:10" ht="15" customHeight="1" x14ac:dyDescent="0.2">
      <c r="A4" s="2092"/>
      <c r="B4" s="2092"/>
      <c r="C4" s="524" t="str">
        <f>OF!C10</f>
        <v>&lt;0.01 hectare (about 10 m x 10 m).</v>
      </c>
      <c r="D4" s="124">
        <f>OF!D10</f>
        <v>0</v>
      </c>
      <c r="E4" s="536">
        <v>0</v>
      </c>
      <c r="F4" s="536">
        <f t="shared" ref="F4:F9" si="0">D4*E4</f>
        <v>0</v>
      </c>
      <c r="G4" s="550"/>
      <c r="H4" s="1670"/>
      <c r="I4" s="1670"/>
    </row>
    <row r="5" spans="1:10" ht="15" customHeight="1" x14ac:dyDescent="0.2">
      <c r="A5" s="2092"/>
      <c r="B5" s="2092"/>
      <c r="C5" s="525" t="str">
        <f>OF!C11</f>
        <v>0.01 - 0.1 hectare.</v>
      </c>
      <c r="D5" s="124">
        <f>OF!D11</f>
        <v>0</v>
      </c>
      <c r="E5" s="536">
        <v>2</v>
      </c>
      <c r="F5" s="536">
        <f t="shared" si="0"/>
        <v>0</v>
      </c>
      <c r="G5" s="550"/>
      <c r="H5" s="1670"/>
      <c r="I5" s="1670"/>
    </row>
    <row r="6" spans="1:10" ht="15" customHeight="1" x14ac:dyDescent="0.2">
      <c r="A6" s="2092"/>
      <c r="B6" s="2092"/>
      <c r="C6" s="525" t="str">
        <f>OF!C12</f>
        <v>0.1 - 1 hectare.</v>
      </c>
      <c r="D6" s="124">
        <f>OF!D12</f>
        <v>0</v>
      </c>
      <c r="E6" s="536">
        <v>3</v>
      </c>
      <c r="F6" s="536">
        <f t="shared" si="0"/>
        <v>0</v>
      </c>
      <c r="G6" s="550"/>
      <c r="H6" s="1670"/>
      <c r="I6" s="1670"/>
    </row>
    <row r="7" spans="1:10" ht="15" customHeight="1" x14ac:dyDescent="0.2">
      <c r="A7" s="2092"/>
      <c r="B7" s="2092"/>
      <c r="C7" s="525" t="str">
        <f>OF!C13</f>
        <v>1 to 10 hectares.</v>
      </c>
      <c r="D7" s="124">
        <f>OF!D13</f>
        <v>0</v>
      </c>
      <c r="E7" s="536">
        <v>4</v>
      </c>
      <c r="F7" s="536">
        <f t="shared" si="0"/>
        <v>0</v>
      </c>
      <c r="G7" s="550"/>
      <c r="H7" s="1670"/>
      <c r="I7" s="1670"/>
    </row>
    <row r="8" spans="1:10" ht="15" customHeight="1" x14ac:dyDescent="0.2">
      <c r="A8" s="2092"/>
      <c r="B8" s="2092"/>
      <c r="C8" s="525" t="str">
        <f>OF!C14</f>
        <v>10 to 100 hectares.</v>
      </c>
      <c r="D8" s="124">
        <f>OF!D14</f>
        <v>0</v>
      </c>
      <c r="E8" s="536">
        <v>5</v>
      </c>
      <c r="F8" s="536">
        <f t="shared" si="0"/>
        <v>0</v>
      </c>
      <c r="G8" s="550"/>
      <c r="H8" s="1670"/>
      <c r="I8" s="1670"/>
    </row>
    <row r="9" spans="1:10" ht="15" customHeight="1" thickBot="1" x14ac:dyDescent="0.25">
      <c r="A9" s="2093"/>
      <c r="B9" s="2093"/>
      <c r="C9" s="526" t="str">
        <f>OF!C15</f>
        <v>&gt;100 hectares.</v>
      </c>
      <c r="D9" s="125">
        <f>OF!D15</f>
        <v>0</v>
      </c>
      <c r="E9" s="538">
        <v>7</v>
      </c>
      <c r="F9" s="538">
        <f t="shared" si="0"/>
        <v>0</v>
      </c>
      <c r="G9" s="682"/>
      <c r="H9" s="1671"/>
      <c r="I9" s="1671"/>
    </row>
    <row r="10" spans="1:10" ht="42" customHeight="1" thickBot="1" x14ac:dyDescent="0.25">
      <c r="A10" s="2115" t="str">
        <f>OF!A23</f>
        <v>OF4</v>
      </c>
      <c r="B10" s="2111" t="str">
        <f>OF!B23</f>
        <v xml:space="preserve">Size of Largest Nearby Vegetated Tract or Corridor </v>
      </c>
      <c r="C10" s="523" t="str">
        <f>OF!C23</f>
        <v>The largest vegetated patch or corridor that includes the AA's vegetation plus all adjacent upland vegetation that is not lawn, row crops, heavily grazed lands, conifer plantation is:</v>
      </c>
      <c r="D10" s="630"/>
      <c r="E10" s="534"/>
      <c r="F10" s="545"/>
      <c r="G10" s="558">
        <f>MAX(F11:F17)/MAX(E11:E17)</f>
        <v>0</v>
      </c>
      <c r="H10" s="1693" t="s">
        <v>1650</v>
      </c>
      <c r="I10" s="1856" t="s">
        <v>2868</v>
      </c>
    </row>
    <row r="11" spans="1:10" ht="30" customHeight="1" x14ac:dyDescent="0.2">
      <c r="A11" s="2116"/>
      <c r="B11" s="2106"/>
      <c r="C11" s="524" t="str">
        <f>OF!C24</f>
        <v>&lt;0.01 hectare (about 10 m x 10 m).</v>
      </c>
      <c r="D11" s="124">
        <f>OF!D24</f>
        <v>0</v>
      </c>
      <c r="E11" s="187">
        <v>0</v>
      </c>
      <c r="F11" s="187">
        <f t="shared" ref="F11:F17" si="1">D11*E11</f>
        <v>0</v>
      </c>
      <c r="G11" s="549"/>
      <c r="H11" s="1696"/>
      <c r="I11" s="2109"/>
    </row>
    <row r="12" spans="1:10" ht="30" customHeight="1" x14ac:dyDescent="0.2">
      <c r="A12" s="2116"/>
      <c r="B12" s="2106"/>
      <c r="C12" s="525" t="str">
        <f>OF!C25</f>
        <v>0.01 - 0.1 hectare.</v>
      </c>
      <c r="D12" s="124">
        <f>OF!D25</f>
        <v>0</v>
      </c>
      <c r="E12" s="187">
        <v>1</v>
      </c>
      <c r="F12" s="187">
        <f t="shared" si="1"/>
        <v>0</v>
      </c>
      <c r="G12" s="550"/>
      <c r="H12" s="1696"/>
      <c r="I12" s="2109"/>
    </row>
    <row r="13" spans="1:10" ht="30" customHeight="1" x14ac:dyDescent="0.2">
      <c r="A13" s="2116"/>
      <c r="B13" s="2106"/>
      <c r="C13" s="525" t="str">
        <f>OF!C26</f>
        <v>0.1 - 1 hectare.</v>
      </c>
      <c r="D13" s="124">
        <f>OF!D26</f>
        <v>0</v>
      </c>
      <c r="E13" s="187">
        <v>2</v>
      </c>
      <c r="F13" s="187">
        <f t="shared" si="1"/>
        <v>0</v>
      </c>
      <c r="G13" s="550"/>
      <c r="H13" s="1696"/>
      <c r="I13" s="2109"/>
    </row>
    <row r="14" spans="1:10" ht="30" customHeight="1" x14ac:dyDescent="0.2">
      <c r="A14" s="2116"/>
      <c r="B14" s="2106"/>
      <c r="C14" s="525" t="str">
        <f>OF!C27</f>
        <v>1 to 10 hectares.</v>
      </c>
      <c r="D14" s="124">
        <f>OF!D27</f>
        <v>0</v>
      </c>
      <c r="E14" s="187">
        <v>4</v>
      </c>
      <c r="F14" s="187">
        <f t="shared" si="1"/>
        <v>0</v>
      </c>
      <c r="G14" s="550"/>
      <c r="H14" s="1696"/>
      <c r="I14" s="2109"/>
    </row>
    <row r="15" spans="1:10" ht="30" customHeight="1" x14ac:dyDescent="0.2">
      <c r="A15" s="2116"/>
      <c r="B15" s="2106"/>
      <c r="C15" s="525" t="str">
        <f>OF!C28</f>
        <v>10 to 100 hectares.</v>
      </c>
      <c r="D15" s="124">
        <f>OF!D28</f>
        <v>0</v>
      </c>
      <c r="E15" s="187">
        <v>6</v>
      </c>
      <c r="F15" s="187">
        <f t="shared" si="1"/>
        <v>0</v>
      </c>
      <c r="G15" s="550"/>
      <c r="H15" s="1696"/>
      <c r="I15" s="2109"/>
    </row>
    <row r="16" spans="1:10" ht="30" customHeight="1" x14ac:dyDescent="0.2">
      <c r="A16" s="2116"/>
      <c r="B16" s="2106"/>
      <c r="C16" s="525" t="str">
        <f>OF!C29</f>
        <v>100 to 1000 hectares.</v>
      </c>
      <c r="D16" s="124">
        <f>OF!D29</f>
        <v>0</v>
      </c>
      <c r="E16" s="187">
        <v>7</v>
      </c>
      <c r="F16" s="187">
        <f t="shared" si="1"/>
        <v>0</v>
      </c>
      <c r="G16" s="550"/>
      <c r="H16" s="1696"/>
      <c r="I16" s="2109"/>
    </row>
    <row r="17" spans="1:9" ht="30" customHeight="1" thickBot="1" x14ac:dyDescent="0.25">
      <c r="A17" s="2117"/>
      <c r="B17" s="2112"/>
      <c r="C17" s="526" t="str">
        <f>OF!C30</f>
        <v>&gt;1000 hectares. [This is nearly always the answer in relatively undeveloped landscapes.]</v>
      </c>
      <c r="D17" s="125">
        <f>OF!D30</f>
        <v>0</v>
      </c>
      <c r="E17" s="188">
        <v>9</v>
      </c>
      <c r="F17" s="188">
        <f t="shared" si="1"/>
        <v>0</v>
      </c>
      <c r="G17" s="682"/>
      <c r="H17" s="1712"/>
      <c r="I17" s="2110"/>
    </row>
    <row r="18" spans="1:9" ht="30" customHeight="1" thickBot="1" x14ac:dyDescent="0.25">
      <c r="A18" s="2118" t="str">
        <f>OF!A31</f>
        <v>OF5</v>
      </c>
      <c r="B18" s="2106" t="str">
        <f>OF!B31</f>
        <v>Distance to Large Vegetated Tract</v>
      </c>
      <c r="C18" s="523" t="str">
        <f>OF!C31</f>
        <v>The minimum distance from the edge of the AA to the edge of the closest vegetated land (but excluding row crops, lawn, conifer plantation) larger than 375 hectares (about 2 km on a side), is:</v>
      </c>
      <c r="D18" s="542"/>
      <c r="E18" s="542"/>
      <c r="F18" s="543"/>
      <c r="G18" s="553">
        <f>MAX(F19:F25)/MAX(E19:E25)</f>
        <v>0</v>
      </c>
      <c r="H18" s="1693" t="s">
        <v>1659</v>
      </c>
      <c r="I18" s="1669" t="s">
        <v>2869</v>
      </c>
    </row>
    <row r="19" spans="1:9" ht="42" customHeight="1" x14ac:dyDescent="0.2">
      <c r="A19" s="2118"/>
      <c r="B19" s="2106"/>
      <c r="C19" s="524" t="str">
        <f>OF!C32</f>
        <v>&lt;50 m, and not separated from the 375-ha vegetated area by any width of paved roads, stretches of open water, row crops, bare ground, lawn, or impervious surface. Or the AA itself contains &gt;375 ha of vegetation. [This is often the answer in relatively undeveloped landscapes.]</v>
      </c>
      <c r="D19" s="124">
        <f>OF!D32</f>
        <v>0</v>
      </c>
      <c r="E19" s="536">
        <v>7</v>
      </c>
      <c r="F19" s="536">
        <f t="shared" ref="F19:F25" si="2">D19*E19</f>
        <v>0</v>
      </c>
      <c r="G19" s="549"/>
      <c r="H19" s="1696"/>
      <c r="I19" s="2092"/>
    </row>
    <row r="20" spans="1:9" ht="27" customHeight="1" x14ac:dyDescent="0.2">
      <c r="A20" s="2118"/>
      <c r="B20" s="2106"/>
      <c r="C20" s="525" t="str">
        <f>OF!C33</f>
        <v>&lt;50 m, but completely separated from the 375-ha vegetated area by those features, and AA does not contain &gt;375 ha of vegetation.</v>
      </c>
      <c r="D20" s="124">
        <f>OF!D33</f>
        <v>0</v>
      </c>
      <c r="E20" s="536">
        <v>6</v>
      </c>
      <c r="F20" s="536">
        <f t="shared" si="2"/>
        <v>0</v>
      </c>
      <c r="G20" s="550"/>
      <c r="H20" s="1696"/>
      <c r="I20" s="2092"/>
    </row>
    <row r="21" spans="1:9" ht="16.899999999999999" customHeight="1" x14ac:dyDescent="0.2">
      <c r="A21" s="2118"/>
      <c r="B21" s="2106"/>
      <c r="C21" s="525" t="str">
        <f>OF!C34</f>
        <v>50-500 m, and not separated.</v>
      </c>
      <c r="D21" s="124">
        <f>OF!D34</f>
        <v>0</v>
      </c>
      <c r="E21" s="536">
        <v>5</v>
      </c>
      <c r="F21" s="536">
        <f t="shared" si="2"/>
        <v>0</v>
      </c>
      <c r="G21" s="550"/>
      <c r="H21" s="1696"/>
      <c r="I21" s="2092"/>
    </row>
    <row r="22" spans="1:9" ht="16.899999999999999" customHeight="1" x14ac:dyDescent="0.2">
      <c r="A22" s="2118"/>
      <c r="B22" s="2106"/>
      <c r="C22" s="525" t="str">
        <f>OF!C35</f>
        <v>50-500 m, but separated by those features.</v>
      </c>
      <c r="D22" s="124">
        <f>OF!D35</f>
        <v>0</v>
      </c>
      <c r="E22" s="536">
        <v>4</v>
      </c>
      <c r="F22" s="536">
        <f t="shared" si="2"/>
        <v>0</v>
      </c>
      <c r="G22" s="550"/>
      <c r="H22" s="1696"/>
      <c r="I22" s="2092"/>
    </row>
    <row r="23" spans="1:9" ht="15" customHeight="1" x14ac:dyDescent="0.2">
      <c r="A23" s="2118"/>
      <c r="B23" s="2106"/>
      <c r="C23" s="525" t="str">
        <f>OF!C36</f>
        <v>0.5 - 5 km, and not separated.</v>
      </c>
      <c r="D23" s="124">
        <f>OF!D36</f>
        <v>0</v>
      </c>
      <c r="E23" s="536">
        <v>3</v>
      </c>
      <c r="F23" s="536">
        <f t="shared" si="2"/>
        <v>0</v>
      </c>
      <c r="G23" s="550"/>
      <c r="H23" s="1696"/>
      <c r="I23" s="2092"/>
    </row>
    <row r="24" spans="1:9" ht="15" customHeight="1" x14ac:dyDescent="0.2">
      <c r="A24" s="2118"/>
      <c r="B24" s="2106"/>
      <c r="C24" s="525" t="str">
        <f>OF!C37</f>
        <v>0.5 - 5 km, but separated by those features.</v>
      </c>
      <c r="D24" s="124">
        <f>OF!D37</f>
        <v>0</v>
      </c>
      <c r="E24" s="536">
        <v>2</v>
      </c>
      <c r="F24" s="536">
        <f t="shared" si="2"/>
        <v>0</v>
      </c>
      <c r="G24" s="550"/>
      <c r="H24" s="1696"/>
      <c r="I24" s="2092"/>
    </row>
    <row r="25" spans="1:9" ht="15" customHeight="1" thickBot="1" x14ac:dyDescent="0.25">
      <c r="A25" s="2118"/>
      <c r="B25" s="2106"/>
      <c r="C25" s="528" t="str">
        <f>OF!C38</f>
        <v>None of the above (the closest patches or corridors which are that large are &gt;5 km away).</v>
      </c>
      <c r="D25" s="124">
        <f>OF!D38</f>
        <v>0</v>
      </c>
      <c r="E25" s="544">
        <v>0</v>
      </c>
      <c r="F25" s="544">
        <f t="shared" si="2"/>
        <v>0</v>
      </c>
      <c r="G25" s="557"/>
      <c r="H25" s="1712"/>
      <c r="I25" s="2093"/>
    </row>
    <row r="26" spans="1:9" ht="51" customHeight="1" thickBot="1" x14ac:dyDescent="0.25">
      <c r="A26" s="2115" t="str">
        <f>OF!A41</f>
        <v>OF8</v>
      </c>
      <c r="B26" s="2111" t="str">
        <f>OF!B41</f>
        <v>Local Vegetated Cover Percentage</v>
      </c>
      <c r="C26" s="523" t="str">
        <f>OF!C41</f>
        <v>Draw a 5-km radius circle measured from the center of the AA.  Ignoring all permanent water in the circle, the percent of the remaining area that is wooded or unmanaged herbaceous vegetation (NOT lawn, row crops, bare or heavily grazed land, clearcuts, or conifer plantations) is:</v>
      </c>
      <c r="D26" s="534"/>
      <c r="E26" s="534"/>
      <c r="F26" s="545"/>
      <c r="G26" s="558">
        <f>MAX(F27:F31)/MAX(E27:E31)</f>
        <v>0</v>
      </c>
      <c r="H26" s="1693" t="s">
        <v>2245</v>
      </c>
      <c r="I26" s="2108" t="s">
        <v>251</v>
      </c>
    </row>
    <row r="27" spans="1:9" ht="18" customHeight="1" x14ac:dyDescent="0.2">
      <c r="A27" s="2116"/>
      <c r="B27" s="2106"/>
      <c r="C27" s="94" t="str">
        <f>OF!C42</f>
        <v xml:space="preserve">&lt;5% of the land. </v>
      </c>
      <c r="D27" s="161">
        <f>OF!D42</f>
        <v>0</v>
      </c>
      <c r="E27" s="536">
        <v>0</v>
      </c>
      <c r="F27" s="536">
        <f>D27*E27</f>
        <v>0</v>
      </c>
      <c r="G27" s="549"/>
      <c r="H27" s="1696"/>
      <c r="I27" s="2109"/>
    </row>
    <row r="28" spans="1:9" ht="18" customHeight="1" x14ac:dyDescent="0.2">
      <c r="A28" s="2116"/>
      <c r="B28" s="2106"/>
      <c r="C28" s="528" t="str">
        <f>OF!C43</f>
        <v>5 to 20% of the land.</v>
      </c>
      <c r="D28" s="162">
        <f>OF!D43</f>
        <v>0</v>
      </c>
      <c r="E28" s="536">
        <v>1</v>
      </c>
      <c r="F28" s="536">
        <f>D28*E28</f>
        <v>0</v>
      </c>
      <c r="G28" s="550"/>
      <c r="H28" s="1696"/>
      <c r="I28" s="2109"/>
    </row>
    <row r="29" spans="1:9" ht="18" customHeight="1" x14ac:dyDescent="0.2">
      <c r="A29" s="2116"/>
      <c r="B29" s="2106"/>
      <c r="C29" s="528" t="str">
        <f>OF!C44</f>
        <v>20 to 60% of the land.</v>
      </c>
      <c r="D29" s="162">
        <f>OF!D44</f>
        <v>0</v>
      </c>
      <c r="E29" s="536">
        <v>2</v>
      </c>
      <c r="F29" s="536">
        <f>D29*E29</f>
        <v>0</v>
      </c>
      <c r="G29" s="550"/>
      <c r="H29" s="1696"/>
      <c r="I29" s="2109"/>
    </row>
    <row r="30" spans="1:9" ht="18" customHeight="1" x14ac:dyDescent="0.2">
      <c r="A30" s="2116"/>
      <c r="B30" s="2106"/>
      <c r="C30" s="528" t="str">
        <f>OF!C45</f>
        <v>60 to 90% of the land.</v>
      </c>
      <c r="D30" s="162">
        <f>OF!D45</f>
        <v>0</v>
      </c>
      <c r="E30" s="536">
        <v>4</v>
      </c>
      <c r="F30" s="536">
        <f>D30*E30</f>
        <v>0</v>
      </c>
      <c r="G30" s="550"/>
      <c r="H30" s="1696"/>
      <c r="I30" s="2109"/>
    </row>
    <row r="31" spans="1:9" ht="18" customHeight="1" thickBot="1" x14ac:dyDescent="0.25">
      <c r="A31" s="2117"/>
      <c r="B31" s="2112"/>
      <c r="C31" s="526" t="str">
        <f>OF!C46</f>
        <v>&gt;90% of the land. SKIP to OF10.</v>
      </c>
      <c r="D31" s="125">
        <f>OF!D46</f>
        <v>0</v>
      </c>
      <c r="E31" s="538">
        <v>6</v>
      </c>
      <c r="F31" s="538">
        <f>D31*E31</f>
        <v>0</v>
      </c>
      <c r="G31" s="682"/>
      <c r="H31" s="1712"/>
      <c r="I31" s="2110"/>
    </row>
    <row r="32" spans="1:9" ht="72" customHeight="1" thickBot="1" x14ac:dyDescent="0.25">
      <c r="A32" s="2091" t="str">
        <f>OF!A47</f>
        <v>OF9</v>
      </c>
      <c r="B32" s="2092" t="str">
        <f>OF!B47</f>
        <v>Type of Land Cover Alteration</v>
      </c>
      <c r="C32" s="527" t="str">
        <f>OF!C47</f>
        <v>Within the 5-km radius circle, and ignoring all permanent water, the land area that is bare or non-perennial cover is mostly:</v>
      </c>
      <c r="D32" s="534"/>
      <c r="E32" s="542"/>
      <c r="F32" s="543"/>
      <c r="G32" s="553">
        <f>IF((D31=1),"",MAX(F33:F34)/MAX(E33:E34))</f>
        <v>0</v>
      </c>
      <c r="H32" s="1693" t="s">
        <v>1651</v>
      </c>
      <c r="I32" s="2108" t="s">
        <v>252</v>
      </c>
    </row>
    <row r="33" spans="1:9" ht="48" customHeight="1" x14ac:dyDescent="0.2">
      <c r="A33" s="2092"/>
      <c r="B33" s="2092"/>
      <c r="C33" s="94" t="str">
        <f>OF!C48</f>
        <v>Impervious surface, e.g., paved road, parking lot, building, exposed rock.</v>
      </c>
      <c r="D33" s="161">
        <f>OF!D48</f>
        <v>0</v>
      </c>
      <c r="E33" s="536">
        <v>0</v>
      </c>
      <c r="F33" s="536">
        <f>D33*E33</f>
        <v>0</v>
      </c>
      <c r="G33" s="549"/>
      <c r="H33" s="1696"/>
      <c r="I33" s="2109"/>
    </row>
    <row r="34" spans="1:9" ht="48" customHeight="1" thickBot="1" x14ac:dyDescent="0.25">
      <c r="A34" s="2093"/>
      <c r="B34" s="2092"/>
      <c r="C34" s="528" t="str">
        <f>OF!C49</f>
        <v>Bare pervious surface, e.g., lawn, recent (&lt;5 yrs ago) clearcut, dirt or gravel road, cropland, landslide, conifer plantation.</v>
      </c>
      <c r="D34" s="162">
        <f>OF!D49</f>
        <v>0</v>
      </c>
      <c r="E34" s="544">
        <v>1</v>
      </c>
      <c r="F34" s="544">
        <f>D34*E34</f>
        <v>0</v>
      </c>
      <c r="G34" s="557"/>
      <c r="H34" s="1712"/>
      <c r="I34" s="2110"/>
    </row>
    <row r="35" spans="1:9" ht="24" customHeight="1" thickBot="1" x14ac:dyDescent="0.25">
      <c r="A35" s="2114" t="str">
        <f>OF!A50</f>
        <v>OF10</v>
      </c>
      <c r="B35" s="2123" t="str">
        <f>OF!B50</f>
        <v>Distance by Road to Nearest Population Center</v>
      </c>
      <c r="C35" s="519" t="str">
        <f>OF!C50</f>
        <v>Measured along the maintained road nearest the AA, the distance to the nearest population center is:</v>
      </c>
      <c r="D35" s="534"/>
      <c r="E35" s="534"/>
      <c r="F35" s="535"/>
      <c r="G35" s="558">
        <f>MAX(F36:F40)/MAX(E36:E40)</f>
        <v>0</v>
      </c>
      <c r="H35" s="1669" t="s">
        <v>1653</v>
      </c>
      <c r="I35" s="1856" t="s">
        <v>248</v>
      </c>
    </row>
    <row r="36" spans="1:9" ht="15" customHeight="1" x14ac:dyDescent="0.2">
      <c r="A36" s="2128"/>
      <c r="B36" s="2124"/>
      <c r="C36" s="520" t="str">
        <f>OF!C51</f>
        <v>&lt;100 m.</v>
      </c>
      <c r="D36" s="157">
        <f>OF!D51</f>
        <v>0</v>
      </c>
      <c r="E36" s="536">
        <v>0</v>
      </c>
      <c r="F36" s="537">
        <f>D36*E36</f>
        <v>0</v>
      </c>
      <c r="G36" s="549"/>
      <c r="H36" s="1670"/>
      <c r="I36" s="1925"/>
    </row>
    <row r="37" spans="1:9" ht="15" customHeight="1" x14ac:dyDescent="0.2">
      <c r="A37" s="2128"/>
      <c r="B37" s="2124"/>
      <c r="C37" s="521" t="str">
        <f>OF!C52</f>
        <v>100 - 500 m.</v>
      </c>
      <c r="D37" s="158">
        <f>OF!D52</f>
        <v>0</v>
      </c>
      <c r="E37" s="536">
        <v>2</v>
      </c>
      <c r="F37" s="537">
        <f>D37*E37</f>
        <v>0</v>
      </c>
      <c r="G37" s="550"/>
      <c r="H37" s="1670"/>
      <c r="I37" s="1925"/>
    </row>
    <row r="38" spans="1:9" ht="15" customHeight="1" x14ac:dyDescent="0.2">
      <c r="A38" s="2128"/>
      <c r="B38" s="2124"/>
      <c r="C38" s="521" t="str">
        <f>OF!C53</f>
        <v>0.5- 1 km.</v>
      </c>
      <c r="D38" s="158">
        <f>OF!D53</f>
        <v>0</v>
      </c>
      <c r="E38" s="536">
        <v>3</v>
      </c>
      <c r="F38" s="537">
        <f>D38*E38</f>
        <v>0</v>
      </c>
      <c r="G38" s="550"/>
      <c r="H38" s="1670"/>
      <c r="I38" s="1925"/>
    </row>
    <row r="39" spans="1:9" ht="15" customHeight="1" x14ac:dyDescent="0.2">
      <c r="A39" s="2128"/>
      <c r="B39" s="2124"/>
      <c r="C39" s="521" t="str">
        <f>OF!C54</f>
        <v>1 - 5 km.</v>
      </c>
      <c r="D39" s="158">
        <f>OF!D54</f>
        <v>0</v>
      </c>
      <c r="E39" s="536">
        <v>5</v>
      </c>
      <c r="F39" s="537">
        <f>D39*E39</f>
        <v>0</v>
      </c>
      <c r="G39" s="550"/>
      <c r="H39" s="1670"/>
      <c r="I39" s="1925"/>
    </row>
    <row r="40" spans="1:9" ht="15.6" customHeight="1" thickBot="1" x14ac:dyDescent="0.25">
      <c r="A40" s="2129"/>
      <c r="B40" s="2125"/>
      <c r="C40" s="522" t="str">
        <f>OF!C55</f>
        <v>&gt;5 km.</v>
      </c>
      <c r="D40" s="159">
        <f>OF!D55</f>
        <v>0</v>
      </c>
      <c r="E40" s="538">
        <v>8</v>
      </c>
      <c r="F40" s="539">
        <f>D40*E40</f>
        <v>0</v>
      </c>
      <c r="G40" s="682"/>
      <c r="H40" s="1671"/>
      <c r="I40" s="1936"/>
    </row>
    <row r="41" spans="1:9" ht="21" customHeight="1" thickBot="1" x14ac:dyDescent="0.25">
      <c r="A41" s="2115" t="str">
        <f>OF!A56</f>
        <v>OF11</v>
      </c>
      <c r="B41" s="2111" t="str">
        <f>OF!B56</f>
        <v>Distance to Nearest Maintained Road</v>
      </c>
      <c r="C41" s="523" t="str">
        <f>OF!C56</f>
        <v>From the center of the AA, the distance to the nearest maintained public road (dirt or paved) is:</v>
      </c>
      <c r="D41" s="534"/>
      <c r="E41" s="534"/>
      <c r="F41" s="535"/>
      <c r="G41" s="558">
        <f>MAX(F42:F47)/MAX(E42:E47)</f>
        <v>0</v>
      </c>
      <c r="H41" s="1693" t="s">
        <v>1408</v>
      </c>
      <c r="I41" s="1856" t="s">
        <v>250</v>
      </c>
    </row>
    <row r="42" spans="1:9" ht="15" customHeight="1" x14ac:dyDescent="0.2">
      <c r="A42" s="2116"/>
      <c r="B42" s="2106"/>
      <c r="C42" s="524" t="str">
        <f>OF!C57</f>
        <v>&lt;10 m.</v>
      </c>
      <c r="D42" s="160">
        <f>OF!D57</f>
        <v>0</v>
      </c>
      <c r="E42" s="536">
        <v>0</v>
      </c>
      <c r="F42" s="536">
        <f t="shared" ref="F42:F47" si="3">D42*E42</f>
        <v>0</v>
      </c>
      <c r="G42" s="549"/>
      <c r="H42" s="1696"/>
      <c r="I42" s="1925"/>
    </row>
    <row r="43" spans="1:9" ht="15" customHeight="1" x14ac:dyDescent="0.2">
      <c r="A43" s="2116"/>
      <c r="B43" s="2106"/>
      <c r="C43" s="525" t="str">
        <f>OF!C58</f>
        <v>10 - 25 m.</v>
      </c>
      <c r="D43" s="124">
        <f>OF!D58</f>
        <v>0</v>
      </c>
      <c r="E43" s="536">
        <v>2</v>
      </c>
      <c r="F43" s="536">
        <f t="shared" si="3"/>
        <v>0</v>
      </c>
      <c r="G43" s="550"/>
      <c r="H43" s="1696"/>
      <c r="I43" s="1925"/>
    </row>
    <row r="44" spans="1:9" ht="15" customHeight="1" x14ac:dyDescent="0.2">
      <c r="A44" s="2116"/>
      <c r="B44" s="2106"/>
      <c r="C44" s="525" t="str">
        <f>OF!C59</f>
        <v>25 - 50 m.</v>
      </c>
      <c r="D44" s="124">
        <f>OF!D59</f>
        <v>0</v>
      </c>
      <c r="E44" s="536">
        <v>4</v>
      </c>
      <c r="F44" s="536">
        <f t="shared" si="3"/>
        <v>0</v>
      </c>
      <c r="G44" s="550"/>
      <c r="H44" s="1696"/>
      <c r="I44" s="1925"/>
    </row>
    <row r="45" spans="1:9" ht="15" customHeight="1" x14ac:dyDescent="0.2">
      <c r="A45" s="2116"/>
      <c r="B45" s="2106"/>
      <c r="C45" s="525" t="str">
        <f>OF!C60</f>
        <v>50 - 100 m.</v>
      </c>
      <c r="D45" s="124">
        <f>OF!D60</f>
        <v>0</v>
      </c>
      <c r="E45" s="536">
        <v>5</v>
      </c>
      <c r="F45" s="536">
        <f t="shared" si="3"/>
        <v>0</v>
      </c>
      <c r="G45" s="550"/>
      <c r="H45" s="1696"/>
      <c r="I45" s="1925"/>
    </row>
    <row r="46" spans="1:9" ht="15" customHeight="1" x14ac:dyDescent="0.2">
      <c r="A46" s="2116"/>
      <c r="B46" s="2106"/>
      <c r="C46" s="525" t="str">
        <f>OF!C61</f>
        <v>100 - 500 m.</v>
      </c>
      <c r="D46" s="124">
        <f>OF!D61</f>
        <v>0</v>
      </c>
      <c r="E46" s="536">
        <v>6</v>
      </c>
      <c r="F46" s="536">
        <f t="shared" si="3"/>
        <v>0</v>
      </c>
      <c r="G46" s="550"/>
      <c r="H46" s="1696"/>
      <c r="I46" s="1925"/>
    </row>
    <row r="47" spans="1:9" ht="15" customHeight="1" thickBot="1" x14ac:dyDescent="0.25">
      <c r="A47" s="2117"/>
      <c r="B47" s="2112"/>
      <c r="C47" s="526" t="str">
        <f>OF!C62</f>
        <v>&gt;500 m.</v>
      </c>
      <c r="D47" s="125">
        <f>OF!D62</f>
        <v>0</v>
      </c>
      <c r="E47" s="538">
        <v>8</v>
      </c>
      <c r="F47" s="538">
        <f t="shared" si="3"/>
        <v>0</v>
      </c>
      <c r="G47" s="682"/>
      <c r="H47" s="1712"/>
      <c r="I47" s="1936"/>
    </row>
    <row r="48" spans="1:9" ht="72" customHeight="1" thickBot="1" x14ac:dyDescent="0.25">
      <c r="A48" s="518" t="str">
        <f>OF!A63</f>
        <v>OF12</v>
      </c>
      <c r="B48" s="533" t="str">
        <f>OF!B63</f>
        <v>Wildlife Access</v>
      </c>
      <c r="C48" s="520" t="str">
        <f>OF!C63</f>
        <v>Draw a circle of radius of 5 km from the center of the AA. If mammals and amphibians can move from the center of the AA to ALL other separate wetlands and ponds located within the circle without being forced to cross pavement (any width), lawns, bare ground, and/or marine waters, mark 1= yes can move to all, 0= no.  Change to blank if there are no other wetlands within 5 km.</v>
      </c>
      <c r="D48" s="157">
        <f>IF((OF!D63=""),"",OF!D63)</f>
        <v>0</v>
      </c>
      <c r="E48" s="540"/>
      <c r="F48" s="541"/>
      <c r="G48" s="986">
        <f>IF((D48=""),"",D48)</f>
        <v>0</v>
      </c>
      <c r="H48" s="68" t="s">
        <v>1652</v>
      </c>
      <c r="I48" s="55" t="s">
        <v>249</v>
      </c>
    </row>
    <row r="49" spans="1:9" ht="30" customHeight="1" thickBot="1" x14ac:dyDescent="0.25">
      <c r="A49" s="2133" t="str">
        <f>OF!A64</f>
        <v>OF13</v>
      </c>
      <c r="B49" s="2111" t="str">
        <f>OF!B64</f>
        <v>Distance to Ponded Water</v>
      </c>
      <c r="C49" s="991" t="str">
        <f>OF!C64</f>
        <v>The distance from the AA center to the closest (but separate) ponded water body visible in GoogleEarth imagery is:</v>
      </c>
      <c r="D49" s="534"/>
      <c r="E49" s="534"/>
      <c r="F49" s="545"/>
      <c r="G49" s="558">
        <f>MAX(F50:F56)/MAX(E50:E56)</f>
        <v>0</v>
      </c>
      <c r="H49" s="1693" t="s">
        <v>1473</v>
      </c>
      <c r="I49" s="2108" t="s">
        <v>253</v>
      </c>
    </row>
    <row r="50" spans="1:9" ht="27" customHeight="1" x14ac:dyDescent="0.2">
      <c r="A50" s="2116"/>
      <c r="B50" s="2106"/>
      <c r="C50" s="94" t="str">
        <f>OF!C65</f>
        <v xml:space="preserve">&lt;50 m, and not separated by any width of paved roads, stretches of open water, row crops, lawn, bare ground, or impervious surface. </v>
      </c>
      <c r="D50" s="161">
        <f>OF!D65</f>
        <v>0</v>
      </c>
      <c r="E50" s="536">
        <v>7</v>
      </c>
      <c r="F50" s="536">
        <f t="shared" ref="F50:F56" si="4">D50*E50</f>
        <v>0</v>
      </c>
      <c r="G50" s="549"/>
      <c r="H50" s="1696"/>
      <c r="I50" s="2109"/>
    </row>
    <row r="51" spans="1:9" ht="15" customHeight="1" x14ac:dyDescent="0.2">
      <c r="A51" s="2116"/>
      <c r="B51" s="2106"/>
      <c r="C51" s="528" t="str">
        <f>OF!C66</f>
        <v>&lt;50 m, but completely separated by those features.</v>
      </c>
      <c r="D51" s="162">
        <f>OF!D66</f>
        <v>0</v>
      </c>
      <c r="E51" s="536">
        <v>6</v>
      </c>
      <c r="F51" s="536">
        <f t="shared" si="4"/>
        <v>0</v>
      </c>
      <c r="G51" s="550"/>
      <c r="H51" s="1696"/>
      <c r="I51" s="2109"/>
    </row>
    <row r="52" spans="1:9" ht="15" customHeight="1" x14ac:dyDescent="0.2">
      <c r="A52" s="2116"/>
      <c r="B52" s="2106"/>
      <c r="C52" s="528" t="str">
        <f>OF!C67</f>
        <v>50-500 m, and not separated.</v>
      </c>
      <c r="D52" s="162">
        <f>OF!D67</f>
        <v>0</v>
      </c>
      <c r="E52" s="536">
        <v>5</v>
      </c>
      <c r="F52" s="536">
        <f t="shared" si="4"/>
        <v>0</v>
      </c>
      <c r="G52" s="550"/>
      <c r="H52" s="1696"/>
      <c r="I52" s="2109"/>
    </row>
    <row r="53" spans="1:9" ht="15" customHeight="1" x14ac:dyDescent="0.2">
      <c r="A53" s="2116"/>
      <c r="B53" s="2106"/>
      <c r="C53" s="528" t="str">
        <f>OF!C68</f>
        <v>50-500 m, but separated by those features.</v>
      </c>
      <c r="D53" s="162">
        <f>OF!D68</f>
        <v>0</v>
      </c>
      <c r="E53" s="536">
        <v>4</v>
      </c>
      <c r="F53" s="536">
        <f t="shared" si="4"/>
        <v>0</v>
      </c>
      <c r="G53" s="550"/>
      <c r="H53" s="1696"/>
      <c r="I53" s="2109"/>
    </row>
    <row r="54" spans="1:9" ht="15" customHeight="1" x14ac:dyDescent="0.2">
      <c r="A54" s="2116"/>
      <c r="B54" s="2106"/>
      <c r="C54" s="528" t="str">
        <f>OF!C69</f>
        <v>0.5 - 1 km, and not separated.</v>
      </c>
      <c r="D54" s="162">
        <f>OF!D69</f>
        <v>0</v>
      </c>
      <c r="E54" s="536">
        <v>3</v>
      </c>
      <c r="F54" s="536">
        <f t="shared" si="4"/>
        <v>0</v>
      </c>
      <c r="G54" s="550"/>
      <c r="H54" s="1696"/>
      <c r="I54" s="2109"/>
    </row>
    <row r="55" spans="1:9" ht="15" customHeight="1" x14ac:dyDescent="0.2">
      <c r="A55" s="2116"/>
      <c r="B55" s="2106"/>
      <c r="C55" s="528" t="str">
        <f>OF!C70</f>
        <v>0.5 - 1 km, but separated by those features.</v>
      </c>
      <c r="D55" s="162">
        <f>OF!D70</f>
        <v>0</v>
      </c>
      <c r="E55" s="544">
        <v>2</v>
      </c>
      <c r="F55" s="544">
        <f t="shared" si="4"/>
        <v>0</v>
      </c>
      <c r="G55" s="557"/>
      <c r="H55" s="1696"/>
      <c r="I55" s="2109"/>
    </row>
    <row r="56" spans="1:9" ht="15" customHeight="1" thickBot="1" x14ac:dyDescent="0.25">
      <c r="A56" s="2117"/>
      <c r="B56" s="2112"/>
      <c r="C56" s="526" t="str">
        <f>OF!C71</f>
        <v>None of the above (the closest patches or corridors that large are &gt;1 km away).</v>
      </c>
      <c r="D56" s="526">
        <f>OF!D71</f>
        <v>0</v>
      </c>
      <c r="E56" s="538">
        <v>0</v>
      </c>
      <c r="F56" s="538">
        <f t="shared" si="4"/>
        <v>0</v>
      </c>
      <c r="G56" s="682"/>
      <c r="H56" s="1712"/>
      <c r="I56" s="2110"/>
    </row>
    <row r="57" spans="1:9" ht="21" customHeight="1" thickBot="1" x14ac:dyDescent="0.25">
      <c r="A57" s="2118" t="str">
        <f>OF!A86</f>
        <v>OF16</v>
      </c>
      <c r="B57" s="2106" t="str">
        <f>OF!B86</f>
        <v>Upland Edge Contact</v>
      </c>
      <c r="C57" s="1573" t="str">
        <f>OF!C86</f>
        <v>Select one:</v>
      </c>
      <c r="D57" s="630"/>
      <c r="E57" s="542"/>
      <c r="F57" s="543"/>
      <c r="G57" s="553">
        <f>MAX(F58:F62)/MAX(E58:E62)</f>
        <v>0</v>
      </c>
      <c r="H57" s="1693" t="s">
        <v>1655</v>
      </c>
      <c r="I57" s="1856" t="s">
        <v>246</v>
      </c>
    </row>
    <row r="58" spans="1:9" ht="27" customHeight="1" x14ac:dyDescent="0.2">
      <c r="A58" s="2118"/>
      <c r="B58" s="2116"/>
      <c r="C58" s="1574" t="str">
        <f>OF!C87</f>
        <v>The AA has no upland edge (or upland is &lt;1% of perimeter). The AA is entirely surrounded by (&amp; contiguous with) other wetlands or water.</v>
      </c>
      <c r="D58" s="124">
        <f>OF!D87</f>
        <v>0</v>
      </c>
      <c r="E58" s="187">
        <v>4</v>
      </c>
      <c r="F58" s="536">
        <f>D58*E58</f>
        <v>0</v>
      </c>
      <c r="G58" s="549"/>
      <c r="H58" s="1696"/>
      <c r="I58" s="1925"/>
    </row>
    <row r="59" spans="1:9" ht="27" customHeight="1" x14ac:dyDescent="0.2">
      <c r="A59" s="2118"/>
      <c r="B59" s="2116"/>
      <c r="C59" s="1574" t="str">
        <f>OF!C88</f>
        <v>1-25% of the AA's perimeter abuts upland (including filled areas). The rest adjoins other wetlands or water that is mostly wider than the AA.</v>
      </c>
      <c r="D59" s="124">
        <f>OF!D88</f>
        <v>0</v>
      </c>
      <c r="E59" s="187">
        <v>3</v>
      </c>
      <c r="F59" s="536">
        <f>D59*E59</f>
        <v>0</v>
      </c>
      <c r="G59" s="549"/>
      <c r="H59" s="1696"/>
      <c r="I59" s="1925"/>
    </row>
    <row r="60" spans="1:9" ht="27" customHeight="1" x14ac:dyDescent="0.2">
      <c r="A60" s="2118"/>
      <c r="B60" s="2116"/>
      <c r="C60" s="1574" t="str">
        <f>OF!C89</f>
        <v>25-50% of the AA's perimeter abuts upland. The rest adjoins other wetlands or water that is mostly wider than the AA.</v>
      </c>
      <c r="D60" s="124">
        <f>OF!D89</f>
        <v>0</v>
      </c>
      <c r="E60" s="187">
        <v>2</v>
      </c>
      <c r="F60" s="536">
        <f>D60*E60</f>
        <v>0</v>
      </c>
      <c r="G60" s="549"/>
      <c r="H60" s="1696"/>
      <c r="I60" s="1925"/>
    </row>
    <row r="61" spans="1:9" ht="27" customHeight="1" x14ac:dyDescent="0.2">
      <c r="A61" s="2118"/>
      <c r="B61" s="2116"/>
      <c r="C61" s="1574" t="str">
        <f>OF!C90</f>
        <v>50-75% of the AA's perimeter abuts upland. The rest adjoins other wetlands or water that is mostly wider than the AA.</v>
      </c>
      <c r="D61" s="124">
        <f>OF!D90</f>
        <v>0</v>
      </c>
      <c r="E61" s="187">
        <v>1</v>
      </c>
      <c r="F61" s="536">
        <f>D61*E61</f>
        <v>0</v>
      </c>
      <c r="G61" s="549"/>
      <c r="H61" s="1696"/>
      <c r="I61" s="1925"/>
    </row>
    <row r="62" spans="1:9" ht="27" customHeight="1" thickBot="1" x14ac:dyDescent="0.25">
      <c r="A62" s="2118"/>
      <c r="B62" s="2106"/>
      <c r="C62" s="528" t="str">
        <f>OF!C91</f>
        <v>More than 75% of the AA's perimeter abuts upland. Any remainder adjoins other wetlands or water that is mostly wider than the AA.  This will be true for most assessments done with WESP-AC.</v>
      </c>
      <c r="D62" s="162">
        <f>OF!D91</f>
        <v>0</v>
      </c>
      <c r="E62" s="544">
        <v>0</v>
      </c>
      <c r="F62" s="544">
        <f>D62*E62</f>
        <v>0</v>
      </c>
      <c r="G62" s="557"/>
      <c r="H62" s="1712"/>
      <c r="I62" s="1936"/>
    </row>
    <row r="63" spans="1:9" ht="57.75" customHeight="1" thickBot="1" x14ac:dyDescent="0.25">
      <c r="A63" s="778" t="str">
        <f>OF!A147</f>
        <v>OF32</v>
      </c>
      <c r="B63" s="777" t="str">
        <f>OF!B147</f>
        <v>Wintering Deer or Moose Concentration Areas</v>
      </c>
      <c r="C63" s="1371" t="str">
        <f>OF!C147</f>
        <v xml:space="preserve">If AA is on private land with no information, change to blank (not 0).  If on public/crown land, in Google Earth open the KMZ file that accompanies this report called NB_DeerWinteringAreas.Otherwise: Enter: yes= 1, no= 0.
</v>
      </c>
      <c r="D63" s="1449">
        <f>OF!D147</f>
        <v>0</v>
      </c>
      <c r="E63" s="630"/>
      <c r="F63" s="783"/>
      <c r="G63" s="988">
        <f>D63</f>
        <v>0</v>
      </c>
      <c r="H63" s="120" t="s">
        <v>1405</v>
      </c>
      <c r="I63" s="55" t="s">
        <v>1677</v>
      </c>
    </row>
    <row r="64" spans="1:9" ht="45" customHeight="1" thickBot="1" x14ac:dyDescent="0.25">
      <c r="A64" s="2130" t="str">
        <f>F!A12</f>
        <v>F2</v>
      </c>
      <c r="B64" s="2091" t="str">
        <f>F!B12</f>
        <v xml:space="preserve">Wetland Types - Adjoining or Subordinate </v>
      </c>
      <c r="C64" s="523" t="str">
        <f>F!C12</f>
        <v>If the AA is smaller than 1 ha, mark all other types that occupy more than 1% of the vegetated AA.  If the AA is larger than 1 ha, mark all other types which are within or adjacent to the AA and occupy more than 1 ha, as visible from the AA or as interpreted from aerial imagery.  Do not mark again the type marked in F1.</v>
      </c>
      <c r="D64" s="546"/>
      <c r="E64" s="534"/>
      <c r="F64" s="785"/>
      <c r="G64" s="558">
        <f>SUM(D65:D68)/3</f>
        <v>0</v>
      </c>
      <c r="H64" s="1669" t="s">
        <v>2375</v>
      </c>
      <c r="I64" s="1856" t="s">
        <v>1693</v>
      </c>
    </row>
    <row r="65" spans="1:9" ht="15" customHeight="1" x14ac:dyDescent="0.2">
      <c r="A65" s="2131"/>
      <c r="B65" s="2092"/>
      <c r="C65" s="524" t="str">
        <f>F!C13</f>
        <v>A1.</v>
      </c>
      <c r="D65" s="1080">
        <f>F!D13</f>
        <v>0</v>
      </c>
      <c r="E65" s="536"/>
      <c r="F65" s="784"/>
      <c r="G65" s="543"/>
      <c r="H65" s="1670"/>
      <c r="I65" s="1925"/>
    </row>
    <row r="66" spans="1:9" ht="15" customHeight="1" x14ac:dyDescent="0.2">
      <c r="A66" s="2131"/>
      <c r="B66" s="2092"/>
      <c r="C66" s="525" t="str">
        <f>F!C14</f>
        <v>A2.</v>
      </c>
      <c r="D66" s="1080">
        <f>F!D14</f>
        <v>0</v>
      </c>
      <c r="E66" s="536"/>
      <c r="F66" s="784"/>
      <c r="G66" s="537"/>
      <c r="H66" s="1670"/>
      <c r="I66" s="1925"/>
    </row>
    <row r="67" spans="1:9" ht="15" customHeight="1" x14ac:dyDescent="0.2">
      <c r="A67" s="2131"/>
      <c r="B67" s="2092"/>
      <c r="C67" s="525" t="str">
        <f>F!C15</f>
        <v>B1.</v>
      </c>
      <c r="D67" s="1080">
        <f>F!D15</f>
        <v>0</v>
      </c>
      <c r="E67" s="536"/>
      <c r="F67" s="784"/>
      <c r="G67" s="537"/>
      <c r="H67" s="1670"/>
      <c r="I67" s="1925"/>
    </row>
    <row r="68" spans="1:9" ht="15" customHeight="1" thickBot="1" x14ac:dyDescent="0.25">
      <c r="A68" s="2132"/>
      <c r="B68" s="2093"/>
      <c r="C68" s="526" t="str">
        <f>F!C16</f>
        <v>B2.</v>
      </c>
      <c r="D68" s="1081">
        <f>F!D16</f>
        <v>0</v>
      </c>
      <c r="E68" s="538"/>
      <c r="F68" s="720"/>
      <c r="G68" s="539"/>
      <c r="H68" s="1671"/>
      <c r="I68" s="1936"/>
    </row>
    <row r="69" spans="1:9" ht="111" customHeight="1" thickBot="1" x14ac:dyDescent="0.25">
      <c r="A69" s="1060" t="str">
        <f>F!A17</f>
        <v>F3</v>
      </c>
      <c r="B69" s="1060" t="str">
        <f>F!B17</f>
        <v>Woody Height &amp; Form Diversity</v>
      </c>
      <c r="C69" s="1082" t="str">
        <f>F!C17</f>
        <v>Following EACH row below, indicate with a number code the percentage of the living vegetation in the AA which is occupied by that feature (6 if &gt;95%, 5 if 75-95%, 4 if 50-75%, 3 if 25-50%, 2 if 5-25%, 1 if &lt;5%, 0 if none). If the vegetated part of the AA is largely herbaceous (non-woody) vegetation, these percentages should not sum to 100%.</v>
      </c>
      <c r="D69" s="657"/>
      <c r="E69" s="657"/>
      <c r="F69" s="1083"/>
      <c r="G69" s="553">
        <f>COUNTIF(F!D18:'F'!D23,"&gt;1")/6</f>
        <v>0</v>
      </c>
      <c r="H69" s="624" t="s">
        <v>1656</v>
      </c>
      <c r="I69" s="55" t="s">
        <v>1679</v>
      </c>
    </row>
    <row r="70" spans="1:9" ht="33" customHeight="1" thickBot="1" x14ac:dyDescent="0.25">
      <c r="A70" s="2113" t="str">
        <f>F!A25</f>
        <v>F4</v>
      </c>
      <c r="B70" s="2092" t="str">
        <f>F!B25</f>
        <v xml:space="preserve">Dominance of Most Abundant Shrub Species </v>
      </c>
      <c r="C70" s="527" t="str">
        <f>F!C25</f>
        <v>Determine which two woody plant species comprise the greatest portion of the low (&lt;3 m) woody cover . Then choose one:</v>
      </c>
      <c r="D70" s="542"/>
      <c r="E70" s="542"/>
      <c r="F70" s="543"/>
      <c r="G70" s="553" t="str">
        <f>IF((MAX(F!D20:D21)&lt;2),"", IF((D72=1),1,""))</f>
        <v/>
      </c>
      <c r="H70" s="1670" t="s">
        <v>1578</v>
      </c>
      <c r="I70" s="1856" t="s">
        <v>259</v>
      </c>
    </row>
    <row r="71" spans="1:9" ht="18" customHeight="1" x14ac:dyDescent="0.2">
      <c r="A71" s="2113"/>
      <c r="B71" s="2092"/>
      <c r="C71" s="531" t="str">
        <f>F!C26</f>
        <v>those species together comprise &gt; 50% of such cover.</v>
      </c>
      <c r="D71" s="165">
        <f>F!D26</f>
        <v>0</v>
      </c>
      <c r="E71" s="536">
        <v>1</v>
      </c>
      <c r="F71" s="536">
        <f>D71*E71</f>
        <v>0</v>
      </c>
      <c r="G71" s="549"/>
      <c r="H71" s="1670"/>
      <c r="I71" s="1925"/>
    </row>
    <row r="72" spans="1:9" ht="18" customHeight="1" thickBot="1" x14ac:dyDescent="0.25">
      <c r="A72" s="2113"/>
      <c r="B72" s="2092"/>
      <c r="C72" s="532" t="str">
        <f>F!C27</f>
        <v>those species together do not comprise &gt; 50% of such cover.</v>
      </c>
      <c r="D72" s="166">
        <f>F!D27</f>
        <v>0</v>
      </c>
      <c r="E72" s="544">
        <v>2</v>
      </c>
      <c r="F72" s="544">
        <f>D72*E72</f>
        <v>0</v>
      </c>
      <c r="G72" s="557"/>
      <c r="H72" s="1671"/>
      <c r="I72" s="1936"/>
    </row>
    <row r="73" spans="1:9" ht="45" customHeight="1" thickBot="1" x14ac:dyDescent="0.25">
      <c r="A73" s="2115" t="str">
        <f>F!A28</f>
        <v>F5</v>
      </c>
      <c r="B73" s="2111" t="str">
        <f>F!B28</f>
        <v>Woody Diameter Classes</v>
      </c>
      <c r="C73" s="523" t="str">
        <f>F!C28</f>
        <v>Mark ALL the types that comprise &gt;5% of the woody canopy cover in the AA or &gt;5% of the wooded areas (if any) along its upland edge (perimeter).  The edge should include only the trees whose canopies extend into the AA.</v>
      </c>
      <c r="D73" s="534"/>
      <c r="E73" s="534"/>
      <c r="F73" s="545"/>
      <c r="G73" s="558" t="str">
        <f>IF((MAX(F!D18:D21)&lt;2),"",((SUM(D74:D81)/8+ MAX(F74:F81)/MAX(E74:E81))/2))</f>
        <v/>
      </c>
      <c r="H73" s="1693" t="s">
        <v>1657</v>
      </c>
      <c r="I73" s="1856" t="s">
        <v>2870</v>
      </c>
    </row>
    <row r="74" spans="1:9" ht="15" customHeight="1" x14ac:dyDescent="0.2">
      <c r="A74" s="2116"/>
      <c r="B74" s="2106"/>
      <c r="C74" s="94" t="str">
        <f>F!C29</f>
        <v>coniferous, 1-9 cm diameter and &gt;1 m tall.</v>
      </c>
      <c r="D74" s="161">
        <f>F!D29</f>
        <v>0</v>
      </c>
      <c r="E74" s="536">
        <v>1</v>
      </c>
      <c r="F74" s="536">
        <f t="shared" ref="F74:F81" si="5">D74*E74</f>
        <v>0</v>
      </c>
      <c r="G74" s="549"/>
      <c r="H74" s="1696"/>
      <c r="I74" s="1925"/>
    </row>
    <row r="75" spans="1:9" ht="15" customHeight="1" x14ac:dyDescent="0.2">
      <c r="A75" s="2116"/>
      <c r="B75" s="2106"/>
      <c r="C75" s="528" t="str">
        <f>F!C30</f>
        <v>broad-leaved deciduous 1-9 cm diameter and &gt;1 m tall.</v>
      </c>
      <c r="D75" s="162">
        <f>F!D30</f>
        <v>0</v>
      </c>
      <c r="E75" s="536">
        <v>3</v>
      </c>
      <c r="F75" s="536">
        <f t="shared" si="5"/>
        <v>0</v>
      </c>
      <c r="G75" s="550"/>
      <c r="H75" s="1696"/>
      <c r="I75" s="1925"/>
    </row>
    <row r="76" spans="1:9" ht="15" customHeight="1" x14ac:dyDescent="0.2">
      <c r="A76" s="2116"/>
      <c r="B76" s="2106"/>
      <c r="C76" s="528" t="str">
        <f>F!C31</f>
        <v>coniferous, 10-19 cm diameter.</v>
      </c>
      <c r="D76" s="162">
        <f>F!D31</f>
        <v>0</v>
      </c>
      <c r="E76" s="536">
        <v>2</v>
      </c>
      <c r="F76" s="536">
        <f t="shared" si="5"/>
        <v>0</v>
      </c>
      <c r="G76" s="550"/>
      <c r="H76" s="1696"/>
      <c r="I76" s="1925"/>
    </row>
    <row r="77" spans="1:9" ht="15" customHeight="1" x14ac:dyDescent="0.2">
      <c r="A77" s="2116"/>
      <c r="B77" s="2106"/>
      <c r="C77" s="528" t="str">
        <f>F!C32</f>
        <v>broad-leaved deciduous 10-19 cm diameter.</v>
      </c>
      <c r="D77" s="162">
        <f>F!D32</f>
        <v>0</v>
      </c>
      <c r="E77" s="536">
        <v>4</v>
      </c>
      <c r="F77" s="536">
        <f t="shared" si="5"/>
        <v>0</v>
      </c>
      <c r="G77" s="550"/>
      <c r="H77" s="1696"/>
      <c r="I77" s="1925"/>
    </row>
    <row r="78" spans="1:9" ht="15" customHeight="1" x14ac:dyDescent="0.2">
      <c r="A78" s="2116"/>
      <c r="B78" s="2106"/>
      <c r="C78" s="528" t="str">
        <f>F!C33</f>
        <v>coniferous, 20-40 cm diameter.</v>
      </c>
      <c r="D78" s="162">
        <f>F!D33</f>
        <v>0</v>
      </c>
      <c r="E78" s="536">
        <v>3</v>
      </c>
      <c r="F78" s="536">
        <f t="shared" si="5"/>
        <v>0</v>
      </c>
      <c r="G78" s="550"/>
      <c r="H78" s="1696"/>
      <c r="I78" s="1925"/>
    </row>
    <row r="79" spans="1:9" ht="15" customHeight="1" x14ac:dyDescent="0.2">
      <c r="A79" s="2116"/>
      <c r="B79" s="2106"/>
      <c r="C79" s="528" t="str">
        <f>F!C34</f>
        <v>broad-leaved deciduous 20-40 cm diameter.</v>
      </c>
      <c r="D79" s="162">
        <f>F!D34</f>
        <v>0</v>
      </c>
      <c r="E79" s="536">
        <v>6</v>
      </c>
      <c r="F79" s="536">
        <f t="shared" si="5"/>
        <v>0</v>
      </c>
      <c r="G79" s="550"/>
      <c r="H79" s="1696"/>
      <c r="I79" s="1925"/>
    </row>
    <row r="80" spans="1:9" ht="15" customHeight="1" x14ac:dyDescent="0.2">
      <c r="A80" s="2116"/>
      <c r="B80" s="2106"/>
      <c r="C80" s="528" t="str">
        <f>F!C35</f>
        <v>coniferous, &gt;40 cm diameter.</v>
      </c>
      <c r="D80" s="162">
        <f>F!D35</f>
        <v>0</v>
      </c>
      <c r="E80" s="536">
        <v>5</v>
      </c>
      <c r="F80" s="536">
        <f t="shared" si="5"/>
        <v>0</v>
      </c>
      <c r="G80" s="550"/>
      <c r="H80" s="1696"/>
      <c r="I80" s="1925"/>
    </row>
    <row r="81" spans="1:9" ht="15" customHeight="1" thickBot="1" x14ac:dyDescent="0.25">
      <c r="A81" s="2117"/>
      <c r="B81" s="2112"/>
      <c r="C81" s="526" t="str">
        <f>F!C36</f>
        <v>broad-leaved deciduous &gt;40 cm diameter.</v>
      </c>
      <c r="D81" s="125">
        <f>F!D36</f>
        <v>0</v>
      </c>
      <c r="E81" s="538">
        <v>8</v>
      </c>
      <c r="F81" s="538">
        <f t="shared" si="5"/>
        <v>0</v>
      </c>
      <c r="G81" s="682"/>
      <c r="H81" s="1712"/>
      <c r="I81" s="1936"/>
    </row>
    <row r="82" spans="1:9" ht="21" customHeight="1" thickBot="1" x14ac:dyDescent="0.25">
      <c r="A82" s="2115" t="str">
        <f>F!A37</f>
        <v>F6</v>
      </c>
      <c r="B82" s="2111" t="str">
        <f>F!B37</f>
        <v>Height Class Interspersion</v>
      </c>
      <c r="C82" s="93" t="str">
        <f>F!C37</f>
        <v>Follow the key below and mark the ONE row that best describes MOST of the AA:</v>
      </c>
      <c r="D82" s="534"/>
      <c r="E82" s="534"/>
      <c r="F82" s="545"/>
      <c r="G82" s="558" t="str">
        <f>IF((MAX(F!D18:D21)&lt;2),"", MAX(F84:F88)/MAX(E84:E88))</f>
        <v/>
      </c>
      <c r="H82" s="1693" t="s">
        <v>1654</v>
      </c>
      <c r="I82" s="1856" t="s">
        <v>237</v>
      </c>
    </row>
    <row r="83" spans="1:9" ht="39" thickBot="1" x14ac:dyDescent="0.25">
      <c r="A83" s="2116"/>
      <c r="B83" s="2106"/>
      <c r="C83" s="93" t="str">
        <f>F!C38</f>
        <v xml:space="preserve">A. Neither the vegetation taller than 1 m nor the vegetation shorter than that comprise &gt;70% of the vegetated part of the AA.  They each comprise 30-70%.  Choose between A1 and A2 and mark the choice with a 1 in the adjoining column.  Otherwise go to B below. </v>
      </c>
      <c r="D83" s="536"/>
      <c r="E83" s="542"/>
      <c r="F83" s="543"/>
      <c r="G83" s="549"/>
      <c r="H83" s="1696"/>
      <c r="I83" s="1925"/>
    </row>
    <row r="84" spans="1:9" ht="15" customHeight="1" x14ac:dyDescent="0.2">
      <c r="A84" s="2116"/>
      <c r="B84" s="2106"/>
      <c r="C84" s="94" t="str">
        <f>F!C39</f>
        <v>A1. The two height classes are mostly scattered and intermixed throughout the AA.</v>
      </c>
      <c r="D84" s="161">
        <f>F!D39</f>
        <v>0</v>
      </c>
      <c r="E84" s="542">
        <v>3</v>
      </c>
      <c r="F84" s="536">
        <f>D84*E84</f>
        <v>0</v>
      </c>
      <c r="G84" s="549"/>
      <c r="H84" s="1696"/>
      <c r="I84" s="1925"/>
    </row>
    <row r="85" spans="1:9" ht="27" customHeight="1" thickBot="1" x14ac:dyDescent="0.25">
      <c r="A85" s="2116"/>
      <c r="B85" s="2106"/>
      <c r="C85" s="528" t="str">
        <f>F!C40</f>
        <v>A2. Not A1.  The two height classes are mostly in separate zones or bands, or in proportionately large clumps.</v>
      </c>
      <c r="D85" s="162">
        <f>F!D40</f>
        <v>0</v>
      </c>
      <c r="E85" s="536">
        <v>2</v>
      </c>
      <c r="F85" s="536">
        <f>D85*E85</f>
        <v>0</v>
      </c>
      <c r="G85" s="549"/>
      <c r="H85" s="1696"/>
      <c r="I85" s="1925"/>
    </row>
    <row r="86" spans="1:9" ht="39" thickBot="1" x14ac:dyDescent="0.25">
      <c r="A86" s="2116"/>
      <c r="B86" s="2106"/>
      <c r="C86" s="93" t="str">
        <f>F!C41</f>
        <v>B. Either the vegetation shorter than 1 m comprises &gt;70% of the vegetated part of the AA, or the vegetation taller than that does.  One size class might even be totally absent.  Choose between B1 and B2 and mark the choice with a 1 in the adjoining column:</v>
      </c>
      <c r="D86" s="554"/>
      <c r="E86" s="536"/>
      <c r="F86" s="536"/>
      <c r="G86" s="549"/>
      <c r="H86" s="1696"/>
      <c r="I86" s="1925"/>
    </row>
    <row r="87" spans="1:9" ht="15" customHeight="1" x14ac:dyDescent="0.2">
      <c r="A87" s="2116"/>
      <c r="B87" s="2106"/>
      <c r="C87" s="94" t="str">
        <f>F!C42</f>
        <v>B1. The less prevalent height class is mostly scattered and intermixed within the prevalent one.</v>
      </c>
      <c r="D87" s="162">
        <f>F!D42</f>
        <v>0</v>
      </c>
      <c r="E87" s="536">
        <v>1</v>
      </c>
      <c r="F87" s="536">
        <f>D87*E87</f>
        <v>0</v>
      </c>
      <c r="G87" s="550"/>
      <c r="H87" s="1696"/>
      <c r="I87" s="1925"/>
    </row>
    <row r="88" spans="1:9" ht="27" customHeight="1" thickBot="1" x14ac:dyDescent="0.25">
      <c r="A88" s="2117"/>
      <c r="B88" s="2112"/>
      <c r="C88" s="526" t="str">
        <f>F!C43</f>
        <v>B2. Not B1.  The less prevalent height class is mostly located apart from the prevalent one, in separate zones or clumps, or is completely absent.</v>
      </c>
      <c r="D88" s="125">
        <f>F!D43</f>
        <v>0</v>
      </c>
      <c r="E88" s="538">
        <v>0</v>
      </c>
      <c r="F88" s="538">
        <f>D88*E88</f>
        <v>0</v>
      </c>
      <c r="G88" s="682"/>
      <c r="H88" s="1712"/>
      <c r="I88" s="1936"/>
    </row>
    <row r="89" spans="1:9" ht="30" customHeight="1" thickBot="1" x14ac:dyDescent="0.25">
      <c r="A89" s="2094" t="str">
        <f>F!A44</f>
        <v>F7</v>
      </c>
      <c r="B89" s="2091" t="str">
        <f>F!B44</f>
        <v>Large Snags (Dead Standing Trees)</v>
      </c>
      <c r="C89" s="523" t="str">
        <f>F!C44</f>
        <v>The number of large snags (diameter &gt;20 cm) in the AA plus adjacent upland area within 10 m of the wetland edge is:</v>
      </c>
      <c r="D89" s="534"/>
      <c r="E89" s="534"/>
      <c r="F89" s="545"/>
      <c r="G89" s="558" t="str">
        <f>IF((MAX(F!D18:D21)&lt;2),"", MAX(F90:F92)/MAX(E90:E92))</f>
        <v/>
      </c>
      <c r="H89" s="1669" t="s">
        <v>1865</v>
      </c>
      <c r="I89" s="1856" t="s">
        <v>238</v>
      </c>
    </row>
    <row r="90" spans="1:9" ht="15" customHeight="1" x14ac:dyDescent="0.2">
      <c r="A90" s="2121"/>
      <c r="B90" s="2119"/>
      <c r="C90" s="524" t="str">
        <f>F!C45</f>
        <v>None, or fewer than 8/ hectare which exceed this diameter.</v>
      </c>
      <c r="D90" s="160">
        <f>F!D45</f>
        <v>0</v>
      </c>
      <c r="E90" s="536">
        <v>1</v>
      </c>
      <c r="F90" s="536">
        <f>D90*E90</f>
        <v>0</v>
      </c>
      <c r="G90" s="549"/>
      <c r="H90" s="1670"/>
      <c r="I90" s="1925"/>
    </row>
    <row r="91" spans="1:9" ht="15" customHeight="1" x14ac:dyDescent="0.2">
      <c r="A91" s="2121"/>
      <c r="B91" s="2119"/>
      <c r="C91" s="524" t="str">
        <f>F!C46</f>
        <v>Several ( &gt;8/hectare) and a pond, lake, or slow-flowing water wider than 10 m is within 1 km.</v>
      </c>
      <c r="D91" s="160">
        <f>F!D46</f>
        <v>0</v>
      </c>
      <c r="E91" s="536">
        <v>2</v>
      </c>
      <c r="F91" s="536">
        <f>D91*E91</f>
        <v>0</v>
      </c>
      <c r="G91" s="549"/>
      <c r="H91" s="1670"/>
      <c r="I91" s="1925"/>
    </row>
    <row r="92" spans="1:9" ht="15" customHeight="1" thickBot="1" x14ac:dyDescent="0.25">
      <c r="A92" s="2122"/>
      <c r="B92" s="2120"/>
      <c r="C92" s="530" t="str">
        <f>F!C47</f>
        <v>Several ( &gt;8/hectare) but above not true.</v>
      </c>
      <c r="D92" s="164">
        <f>F!D47</f>
        <v>0</v>
      </c>
      <c r="E92" s="538">
        <v>2</v>
      </c>
      <c r="F92" s="538">
        <f>D92*E92</f>
        <v>0</v>
      </c>
      <c r="G92" s="682"/>
      <c r="H92" s="1671"/>
      <c r="I92" s="1936"/>
    </row>
    <row r="93" spans="1:9" ht="45" customHeight="1" thickBot="1" x14ac:dyDescent="0.25">
      <c r="A93" s="2115" t="str">
        <f>F!A48</f>
        <v>F8</v>
      </c>
      <c r="B93" s="2111" t="str">
        <f>F!B48</f>
        <v>Downed Wood</v>
      </c>
      <c r="C93" s="523" t="str">
        <f>F!C48</f>
        <v>The number of downed wood pieces longer than 2 m and with diameter &gt;10 cm, and not persistently submerged, is:</v>
      </c>
      <c r="D93" s="534"/>
      <c r="E93" s="534"/>
      <c r="F93" s="545"/>
      <c r="G93" s="558" t="str">
        <f>IF((MAX(F!D18:D21)&lt;2),"", IF((D94=1),1,""))</f>
        <v/>
      </c>
      <c r="H93" s="1693" t="s">
        <v>1577</v>
      </c>
      <c r="I93" s="1856" t="s">
        <v>2871</v>
      </c>
    </row>
    <row r="94" spans="1:9" ht="27" customHeight="1" x14ac:dyDescent="0.2">
      <c r="A94" s="2116"/>
      <c r="B94" s="2106"/>
      <c r="C94" s="94" t="str">
        <f>F!C49</f>
        <v>Few or none that meet these criteria.</v>
      </c>
      <c r="D94" s="161">
        <f>F!D49</f>
        <v>0</v>
      </c>
      <c r="E94" s="536">
        <v>0</v>
      </c>
      <c r="F94" s="536">
        <f>D94*E94</f>
        <v>0</v>
      </c>
      <c r="G94" s="549"/>
      <c r="H94" s="1696"/>
      <c r="I94" s="1925"/>
    </row>
    <row r="95" spans="1:9" ht="27" customHeight="1" thickBot="1" x14ac:dyDescent="0.25">
      <c r="A95" s="2117"/>
      <c r="B95" s="2112"/>
      <c r="C95" s="526" t="str">
        <f>F!C50</f>
        <v>Several (&gt;5 if AA is &gt;5 hectares, less for smaller AAs) meet these criteria.</v>
      </c>
      <c r="D95" s="125">
        <f>F!D50</f>
        <v>0</v>
      </c>
      <c r="E95" s="538">
        <v>1</v>
      </c>
      <c r="F95" s="538">
        <f>D95*E95</f>
        <v>0</v>
      </c>
      <c r="G95" s="682"/>
      <c r="H95" s="1712"/>
      <c r="I95" s="1936"/>
    </row>
    <row r="96" spans="1:9" ht="30" customHeight="1" thickBot="1" x14ac:dyDescent="0.25">
      <c r="A96" s="1721" t="str">
        <f>F!A51</f>
        <v>F9</v>
      </c>
      <c r="B96" s="1669" t="str">
        <f>F!B51</f>
        <v>N Fixers</v>
      </c>
      <c r="C96" s="240" t="str">
        <f>F!C51</f>
        <v>The percentage of the AA's vegetated cover that contains nitrogen-fixing plants (e.g., alder, sweetgale, clover, lupine, alfalfa, other legumes) is:</v>
      </c>
      <c r="D96" s="534"/>
      <c r="E96" s="559"/>
      <c r="F96" s="560"/>
      <c r="G96" s="558">
        <f>MAX(F97:F101)/MAX(E97:E101)</f>
        <v>0</v>
      </c>
      <c r="H96" s="1669" t="s">
        <v>1352</v>
      </c>
      <c r="I96" s="1856" t="s">
        <v>258</v>
      </c>
    </row>
    <row r="97" spans="1:9" ht="15" customHeight="1" x14ac:dyDescent="0.2">
      <c r="A97" s="1703"/>
      <c r="B97" s="1670"/>
      <c r="C97" s="14" t="str">
        <f>F!C52</f>
        <v>&lt;1% or none.</v>
      </c>
      <c r="D97" s="129">
        <f>F!D52</f>
        <v>0</v>
      </c>
      <c r="E97" s="536">
        <v>0</v>
      </c>
      <c r="F97" s="536">
        <f>D97*E97</f>
        <v>0</v>
      </c>
      <c r="G97" s="549"/>
      <c r="H97" s="1670"/>
      <c r="I97" s="1925"/>
    </row>
    <row r="98" spans="1:9" ht="15" customHeight="1" x14ac:dyDescent="0.2">
      <c r="A98" s="1703"/>
      <c r="B98" s="1670"/>
      <c r="C98" s="4" t="str">
        <f>F!C53</f>
        <v>1-25% of the vegetated cover, in the AA or along its water edge (whichever has more).</v>
      </c>
      <c r="D98" s="33">
        <f>F!D53</f>
        <v>0</v>
      </c>
      <c r="E98" s="536">
        <v>1</v>
      </c>
      <c r="F98" s="536">
        <f>D98*E98</f>
        <v>0</v>
      </c>
      <c r="G98" s="550"/>
      <c r="H98" s="1670"/>
      <c r="I98" s="1925"/>
    </row>
    <row r="99" spans="1:9" ht="15" customHeight="1" x14ac:dyDescent="0.2">
      <c r="A99" s="1703"/>
      <c r="B99" s="1670"/>
      <c r="C99" s="4" t="str">
        <f>F!C54</f>
        <v>25-50% of the vegetated cover, in the AA or along its water edge (whichever has more).</v>
      </c>
      <c r="D99" s="33">
        <f>F!D54</f>
        <v>0</v>
      </c>
      <c r="E99" s="536">
        <v>2</v>
      </c>
      <c r="F99" s="536">
        <f>D99*E99</f>
        <v>0</v>
      </c>
      <c r="G99" s="550"/>
      <c r="H99" s="1670"/>
      <c r="I99" s="1925"/>
    </row>
    <row r="100" spans="1:9" ht="15" customHeight="1" x14ac:dyDescent="0.2">
      <c r="A100" s="1703"/>
      <c r="B100" s="1670"/>
      <c r="C100" s="4" t="str">
        <f>F!C55</f>
        <v>50-75% of the vegetated cover, in the AA or along its water edge (whichever has more).</v>
      </c>
      <c r="D100" s="33">
        <f>F!D55</f>
        <v>0</v>
      </c>
      <c r="E100" s="536">
        <v>3</v>
      </c>
      <c r="F100" s="536">
        <f>D100*E100</f>
        <v>0</v>
      </c>
      <c r="G100" s="550"/>
      <c r="H100" s="1670"/>
      <c r="I100" s="1925"/>
    </row>
    <row r="101" spans="1:9" ht="15" customHeight="1" thickBot="1" x14ac:dyDescent="0.25">
      <c r="A101" s="1722"/>
      <c r="B101" s="1671"/>
      <c r="C101" s="85" t="str">
        <f>F!C56</f>
        <v>&gt;75% of the vegetated cover, in the AA or along its water edge (whichever has more).</v>
      </c>
      <c r="D101" s="84">
        <f>F!D56</f>
        <v>0</v>
      </c>
      <c r="E101" s="538">
        <v>4</v>
      </c>
      <c r="F101" s="538">
        <f>D101*E101</f>
        <v>0</v>
      </c>
      <c r="G101" s="682"/>
      <c r="H101" s="1671"/>
      <c r="I101" s="1936"/>
    </row>
    <row r="102" spans="1:9" ht="30" customHeight="1" thickBot="1" x14ac:dyDescent="0.25">
      <c r="A102" s="2118" t="str">
        <f>F!A63</f>
        <v>F11</v>
      </c>
      <c r="B102" s="2106" t="str">
        <f>F!B63</f>
        <v>% Bare Ground &amp; Thatch</v>
      </c>
      <c r="C102" s="527" t="str">
        <f>F!C63</f>
        <v>Consider the parts of the AA that lack surface water at the driest time of the growing season. Viewed from directly above the ground layer, the predominant condition in those areas at that time is:</v>
      </c>
      <c r="D102" s="534"/>
      <c r="E102" s="542"/>
      <c r="F102" s="543"/>
      <c r="G102" s="553">
        <f>MAX(F103:F106)/MAX(E103:E106)</f>
        <v>0</v>
      </c>
      <c r="H102" s="1693" t="s">
        <v>1753</v>
      </c>
      <c r="I102" s="1856" t="s">
        <v>239</v>
      </c>
    </row>
    <row r="103" spans="1:9" ht="42" customHeight="1" x14ac:dyDescent="0.2">
      <c r="A103" s="2118"/>
      <c r="B103" s="2106"/>
      <c r="C103" s="94" t="str">
        <f>F!C64</f>
        <v>Little or no (&lt;5%) bare ground is visible between erect stems or under canopy anywhere in the vegetated AA. Ground is extensively blanketed by dense thatch, moss, lichens, graminoids with great stem densities, or plants with ground-hugging foliage. </v>
      </c>
      <c r="D103" s="161">
        <f>F!D64</f>
        <v>0</v>
      </c>
      <c r="E103" s="536">
        <v>5</v>
      </c>
      <c r="F103" s="536">
        <f>D103*E103</f>
        <v>0</v>
      </c>
      <c r="G103" s="549"/>
      <c r="H103" s="2106"/>
      <c r="I103" s="1925"/>
    </row>
    <row r="104" spans="1:9" ht="27" customHeight="1" x14ac:dyDescent="0.2">
      <c r="A104" s="2118"/>
      <c r="B104" s="2106"/>
      <c r="C104" s="528" t="str">
        <f>F!C65</f>
        <v>Slightly bare ground (5-20% bare between plants) is visible in places, but those areas comprise less than 5% of the unflooded parts of the AA.</v>
      </c>
      <c r="D104" s="162">
        <f>F!D65</f>
        <v>0</v>
      </c>
      <c r="E104" s="536">
        <v>4</v>
      </c>
      <c r="F104" s="536">
        <f>D104*E104</f>
        <v>0</v>
      </c>
      <c r="G104" s="550"/>
      <c r="H104" s="2106"/>
      <c r="I104" s="1925"/>
    </row>
    <row r="105" spans="1:9" ht="27" customHeight="1" x14ac:dyDescent="0.2">
      <c r="A105" s="2118"/>
      <c r="B105" s="2106"/>
      <c r="C105" s="528" t="str">
        <f>F!C66</f>
        <v>Much bare ground (20-50% bare between plants) is visible in places, and those areas comprise more than 5% of the unflooded parts of the AA. </v>
      </c>
      <c r="D105" s="162">
        <f>F!D66</f>
        <v>0</v>
      </c>
      <c r="E105" s="536">
        <v>1</v>
      </c>
      <c r="F105" s="536">
        <f>D105*E105</f>
        <v>0</v>
      </c>
      <c r="G105" s="550"/>
      <c r="H105" s="2106"/>
      <c r="I105" s="1925"/>
    </row>
    <row r="106" spans="1:9" ht="15" customHeight="1" thickBot="1" x14ac:dyDescent="0.25">
      <c r="A106" s="2118"/>
      <c r="B106" s="2106"/>
      <c r="C106" s="528" t="str">
        <f>F!C67</f>
        <v>Other conditions.</v>
      </c>
      <c r="D106" s="162">
        <f>F!D67</f>
        <v>0</v>
      </c>
      <c r="E106" s="544">
        <v>0</v>
      </c>
      <c r="F106" s="544">
        <f>D106*E106</f>
        <v>0</v>
      </c>
      <c r="G106" s="557"/>
      <c r="H106" s="2112"/>
      <c r="I106" s="1936"/>
    </row>
    <row r="107" spans="1:9" ht="60" customHeight="1" thickBot="1" x14ac:dyDescent="0.25">
      <c r="A107" s="2115" t="str">
        <f>F!A69</f>
        <v>F12</v>
      </c>
      <c r="B107" s="2111" t="str">
        <f>F!B69</f>
        <v xml:space="preserve">Ground Irregularity </v>
      </c>
      <c r="C107" s="523" t="str">
        <f>F!C69</f>
        <v>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v>
      </c>
      <c r="D107" s="534"/>
      <c r="E107" s="534"/>
      <c r="F107" s="545"/>
      <c r="G107" s="558">
        <f>MAX(F108:F110)/MAX(E108:E110)</f>
        <v>0</v>
      </c>
      <c r="H107" s="2111" t="s">
        <v>469</v>
      </c>
      <c r="I107" s="1856" t="s">
        <v>240</v>
      </c>
    </row>
    <row r="108" spans="1:9" ht="27" customHeight="1" x14ac:dyDescent="0.2">
      <c r="A108" s="2116"/>
      <c r="B108" s="2106"/>
      <c r="C108" s="94" t="str">
        <f>F!C70</f>
        <v>Few or none (minimal microtopography; &lt;1% of the land has such features, or entire AA is always water-covered).</v>
      </c>
      <c r="D108" s="161">
        <f>F!D70</f>
        <v>0</v>
      </c>
      <c r="E108" s="536">
        <v>0</v>
      </c>
      <c r="F108" s="536">
        <f>D108*E108</f>
        <v>0</v>
      </c>
      <c r="G108" s="549"/>
      <c r="H108" s="2106"/>
      <c r="I108" s="1925"/>
    </row>
    <row r="109" spans="1:9" ht="15" customHeight="1" x14ac:dyDescent="0.2">
      <c r="A109" s="2116"/>
      <c r="B109" s="2106"/>
      <c r="C109" s="528" t="str">
        <f>F!C71</f>
        <v>Intermediate.</v>
      </c>
      <c r="D109" s="162">
        <f>F!D71</f>
        <v>0</v>
      </c>
      <c r="E109" s="536">
        <v>1</v>
      </c>
      <c r="F109" s="536">
        <f>D109*E109</f>
        <v>0</v>
      </c>
      <c r="G109" s="550"/>
      <c r="H109" s="2106"/>
      <c r="I109" s="1925"/>
    </row>
    <row r="110" spans="1:9" ht="15" customHeight="1" thickBot="1" x14ac:dyDescent="0.25">
      <c r="A110" s="2117"/>
      <c r="B110" s="2112"/>
      <c r="C110" s="526" t="str">
        <f>F!C72</f>
        <v>Several (extensive micro-topography).</v>
      </c>
      <c r="D110" s="125">
        <f>F!D72</f>
        <v>0</v>
      </c>
      <c r="E110" s="538">
        <v>2</v>
      </c>
      <c r="F110" s="538">
        <f>D110*E110</f>
        <v>0</v>
      </c>
      <c r="G110" s="682"/>
      <c r="H110" s="2112"/>
      <c r="I110" s="1936"/>
    </row>
    <row r="111" spans="1:9" ht="21" customHeight="1" thickBot="1" x14ac:dyDescent="0.25">
      <c r="A111" s="2113" t="str">
        <f>F!A73</f>
        <v>F13</v>
      </c>
      <c r="B111" s="2092" t="str">
        <f>F!B73</f>
        <v>Upland Inclusions</v>
      </c>
      <c r="C111" s="527" t="str">
        <f>F!C73</f>
        <v>Within the AA, inclusions of upland are:</v>
      </c>
      <c r="D111" s="534"/>
      <c r="E111" s="542"/>
      <c r="F111" s="543"/>
      <c r="G111" s="553">
        <f>IF((D112=1),"", MAX(F112:F114)/MAX(E112:E114))</f>
        <v>0</v>
      </c>
      <c r="H111" s="1693" t="s">
        <v>43</v>
      </c>
      <c r="I111" s="1856" t="s">
        <v>241</v>
      </c>
    </row>
    <row r="112" spans="1:9" ht="15" customHeight="1" x14ac:dyDescent="0.2">
      <c r="A112" s="2113"/>
      <c r="B112" s="2092"/>
      <c r="C112" s="524" t="str">
        <f>F!C74</f>
        <v>Few or none.</v>
      </c>
      <c r="D112" s="160">
        <f>F!D74</f>
        <v>0</v>
      </c>
      <c r="E112" s="536">
        <v>0</v>
      </c>
      <c r="F112" s="536">
        <f>D112*E112</f>
        <v>0</v>
      </c>
      <c r="G112" s="549"/>
      <c r="H112" s="1696"/>
      <c r="I112" s="1925"/>
    </row>
    <row r="113" spans="1:9" ht="15" customHeight="1" x14ac:dyDescent="0.2">
      <c r="A113" s="2113"/>
      <c r="B113" s="2092"/>
      <c r="C113" s="525" t="str">
        <f>F!C75</f>
        <v>Intermediate (1 - 10% of vegetated part of the AA).</v>
      </c>
      <c r="D113" s="124">
        <f>F!D75</f>
        <v>0</v>
      </c>
      <c r="E113" s="536">
        <v>1</v>
      </c>
      <c r="F113" s="536">
        <f>D113*E113</f>
        <v>0</v>
      </c>
      <c r="G113" s="987"/>
      <c r="H113" s="1696"/>
      <c r="I113" s="1925"/>
    </row>
    <row r="114" spans="1:9" ht="15" customHeight="1" thickBot="1" x14ac:dyDescent="0.25">
      <c r="A114" s="2113"/>
      <c r="B114" s="2092"/>
      <c r="C114" s="528" t="str">
        <f>F!C76</f>
        <v>Many (e.g., wetland-upland "mosaic", &gt;10% of the vegetated AA).</v>
      </c>
      <c r="D114" s="162">
        <f>F!D76</f>
        <v>0</v>
      </c>
      <c r="E114" s="544">
        <v>2</v>
      </c>
      <c r="F114" s="544">
        <f>D114*E114</f>
        <v>0</v>
      </c>
      <c r="G114" s="557"/>
      <c r="H114" s="1712"/>
      <c r="I114" s="1936"/>
    </row>
    <row r="115" spans="1:9" ht="30" customHeight="1" thickBot="1" x14ac:dyDescent="0.25">
      <c r="A115" s="2094" t="str">
        <f>F!A121</f>
        <v>F24</v>
      </c>
      <c r="B115" s="2091" t="str">
        <f>F!B121</f>
        <v>% of AA Without Surface Water</v>
      </c>
      <c r="C115" s="93" t="str">
        <f>F!C121</f>
        <v>The percentage of the AA that never contains surface water during an average year (that is, except perhaps for a few hours after snowmelt or rainstorms), but which is still a wetland, is:</v>
      </c>
      <c r="D115" s="630"/>
      <c r="E115" s="546"/>
      <c r="F115" s="534"/>
      <c r="G115" s="558">
        <f>MAX(F116:F121)/MAX(E116:E121)</f>
        <v>0</v>
      </c>
      <c r="H115" s="1669" t="s">
        <v>1115</v>
      </c>
      <c r="I115" s="1856" t="s">
        <v>659</v>
      </c>
    </row>
    <row r="116" spans="1:9" ht="15" customHeight="1" x14ac:dyDescent="0.2">
      <c r="A116" s="2095"/>
      <c r="B116" s="2092"/>
      <c r="C116" s="524" t="str">
        <f>F!C122</f>
        <v xml:space="preserve">&lt;1% . In other words, all or nearly all of the AA is covered by water permanently or at least seasonally.  </v>
      </c>
      <c r="D116" s="124">
        <f>F!D122</f>
        <v>0</v>
      </c>
      <c r="E116" s="536">
        <v>1</v>
      </c>
      <c r="F116" s="536">
        <f t="shared" ref="F116:F121" si="6">D116*E116</f>
        <v>0</v>
      </c>
      <c r="G116" s="557"/>
      <c r="H116" s="1670"/>
      <c r="I116" s="1925"/>
    </row>
    <row r="117" spans="1:9" ht="15" customHeight="1" x14ac:dyDescent="0.2">
      <c r="A117" s="2095"/>
      <c r="B117" s="2092"/>
      <c r="C117" s="525" t="str">
        <f>F!C123</f>
        <v>1-25% of the AA,  or &lt;1% but &gt;0.01 ha never contains surface water.</v>
      </c>
      <c r="D117" s="124">
        <f>F!D123</f>
        <v>0</v>
      </c>
      <c r="E117" s="536">
        <v>2</v>
      </c>
      <c r="F117" s="536">
        <f t="shared" si="6"/>
        <v>0</v>
      </c>
      <c r="G117" s="557"/>
      <c r="H117" s="1670"/>
      <c r="I117" s="1925"/>
    </row>
    <row r="118" spans="1:9" ht="15" customHeight="1" x14ac:dyDescent="0.2">
      <c r="A118" s="2095"/>
      <c r="B118" s="2092"/>
      <c r="C118" s="525" t="str">
        <f>F!C124</f>
        <v>25-50% of the AA never contains surface water.</v>
      </c>
      <c r="D118" s="124">
        <f>F!D124</f>
        <v>0</v>
      </c>
      <c r="E118" s="536">
        <v>3</v>
      </c>
      <c r="F118" s="536">
        <f t="shared" si="6"/>
        <v>0</v>
      </c>
      <c r="G118" s="557"/>
      <c r="H118" s="1670"/>
      <c r="I118" s="1925"/>
    </row>
    <row r="119" spans="1:9" ht="15" customHeight="1" x14ac:dyDescent="0.2">
      <c r="A119" s="2095"/>
      <c r="B119" s="2092"/>
      <c r="C119" s="525" t="str">
        <f>F!C125</f>
        <v>50-75% of the AA never contains surface water.</v>
      </c>
      <c r="D119" s="124">
        <f>F!D125</f>
        <v>0</v>
      </c>
      <c r="E119" s="536">
        <v>4</v>
      </c>
      <c r="F119" s="536">
        <f t="shared" si="6"/>
        <v>0</v>
      </c>
      <c r="G119" s="557"/>
      <c r="H119" s="1670"/>
      <c r="I119" s="1925"/>
    </row>
    <row r="120" spans="1:9" ht="27" customHeight="1" x14ac:dyDescent="0.2">
      <c r="A120" s="2095"/>
      <c r="B120" s="2092"/>
      <c r="C120" s="525" t="str">
        <f>F!C126</f>
        <v>75-99% of the AA never contains surface water, OR &gt;99% and there is at least one persistently ponded water body larger than 1 ha in the AA.</v>
      </c>
      <c r="D120" s="124">
        <f>F!D126</f>
        <v>0</v>
      </c>
      <c r="E120" s="536">
        <v>6</v>
      </c>
      <c r="F120" s="536">
        <f t="shared" si="6"/>
        <v>0</v>
      </c>
      <c r="G120" s="557"/>
      <c r="H120" s="1670"/>
      <c r="I120" s="1925"/>
    </row>
    <row r="121" spans="1:9" ht="27" customHeight="1" thickBot="1" x14ac:dyDescent="0.25">
      <c r="A121" s="2096"/>
      <c r="B121" s="2093"/>
      <c r="C121" s="526" t="str">
        <f>F!C127</f>
        <v>99-100%. AND there is no persistently ponded water body larger than 1 ha within the AA. Enter "1" and SKIP to F42 (Channel Connection).</v>
      </c>
      <c r="D121" s="125">
        <f>F!D127</f>
        <v>0</v>
      </c>
      <c r="E121" s="538">
        <v>5</v>
      </c>
      <c r="F121" s="538">
        <f t="shared" si="6"/>
        <v>0</v>
      </c>
      <c r="G121" s="682"/>
      <c r="H121" s="1671"/>
      <c r="I121" s="1936"/>
    </row>
    <row r="122" spans="1:9" ht="45" customHeight="1" thickBot="1" x14ac:dyDescent="0.25">
      <c r="A122" s="2095" t="str">
        <f>F!A128</f>
        <v>F25</v>
      </c>
      <c r="B122" s="2092" t="str">
        <f>F!B128</f>
        <v>% of AA with Persistent Surface Water</v>
      </c>
      <c r="C122" s="527" t="str">
        <f>F!C128</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122" s="542"/>
      <c r="E122" s="542"/>
      <c r="F122" s="543"/>
      <c r="G122" s="553">
        <f>IF((AllSat1&gt;0),"", MAX(F123:F127)/MAX(E123:E127))</f>
        <v>0</v>
      </c>
      <c r="H122" s="1669" t="s">
        <v>1866</v>
      </c>
      <c r="I122" s="1856" t="s">
        <v>236</v>
      </c>
    </row>
    <row r="123" spans="1:9" ht="27" customHeight="1" x14ac:dyDescent="0.2">
      <c r="A123" s="2095"/>
      <c r="B123" s="2092"/>
      <c r="C123" s="528" t="str">
        <f>F!C129</f>
        <v>None. The AA dries up completely (no water in channels either) or never has surface water during most years.  SKIP to F27.</v>
      </c>
      <c r="D123" s="162">
        <f>F!D129</f>
        <v>0</v>
      </c>
      <c r="E123" s="542">
        <v>3</v>
      </c>
      <c r="F123" s="536">
        <f>D123*E123</f>
        <v>0</v>
      </c>
      <c r="G123" s="550"/>
      <c r="H123" s="1670"/>
      <c r="I123" s="1925"/>
    </row>
    <row r="124" spans="1:9" ht="15" customHeight="1" x14ac:dyDescent="0.2">
      <c r="A124" s="2095"/>
      <c r="B124" s="2092"/>
      <c r="C124" s="528" t="str">
        <f>F!C130</f>
        <v>1-20% of the AA.</v>
      </c>
      <c r="D124" s="162">
        <f>F!D130</f>
        <v>0</v>
      </c>
      <c r="E124" s="536">
        <v>4</v>
      </c>
      <c r="F124" s="536">
        <f>D124*E124</f>
        <v>0</v>
      </c>
      <c r="G124" s="550"/>
      <c r="H124" s="1670"/>
      <c r="I124" s="1925"/>
    </row>
    <row r="125" spans="1:9" ht="15" customHeight="1" x14ac:dyDescent="0.2">
      <c r="A125" s="2095"/>
      <c r="B125" s="2092"/>
      <c r="C125" s="528" t="str">
        <f>F!C131</f>
        <v>20-50% of the AA.</v>
      </c>
      <c r="D125" s="162">
        <f>F!D131</f>
        <v>0</v>
      </c>
      <c r="E125" s="536">
        <v>3</v>
      </c>
      <c r="F125" s="536">
        <f>D125*E125</f>
        <v>0</v>
      </c>
      <c r="G125" s="550"/>
      <c r="H125" s="1670"/>
      <c r="I125" s="1925"/>
    </row>
    <row r="126" spans="1:9" ht="15" customHeight="1" x14ac:dyDescent="0.2">
      <c r="A126" s="2095"/>
      <c r="B126" s="2092"/>
      <c r="C126" s="528" t="str">
        <f>F!C132</f>
        <v>50-95% of the AA.</v>
      </c>
      <c r="D126" s="162">
        <f>F!D132</f>
        <v>0</v>
      </c>
      <c r="E126" s="536">
        <v>2</v>
      </c>
      <c r="F126" s="536">
        <f>D126*E126</f>
        <v>0</v>
      </c>
      <c r="G126" s="550"/>
      <c r="H126" s="1670"/>
      <c r="I126" s="1925"/>
    </row>
    <row r="127" spans="1:9" ht="15" customHeight="1" thickBot="1" x14ac:dyDescent="0.25">
      <c r="A127" s="2096"/>
      <c r="B127" s="2093"/>
      <c r="C127" s="526" t="str">
        <f>F!C133</f>
        <v>&gt;95% of the AA. True for many fringe wetlands.</v>
      </c>
      <c r="D127" s="125">
        <f>F!D133</f>
        <v>0</v>
      </c>
      <c r="E127" s="552">
        <v>1</v>
      </c>
      <c r="F127" s="538">
        <f>D127*E127</f>
        <v>0</v>
      </c>
      <c r="G127" s="682"/>
      <c r="H127" s="1671"/>
      <c r="I127" s="1936"/>
    </row>
    <row r="128" spans="1:9" ht="30" customHeight="1" thickBot="1" x14ac:dyDescent="0.25">
      <c r="A128" s="2113" t="str">
        <f>F!A177</f>
        <v>F34</v>
      </c>
      <c r="B128" s="2092" t="str">
        <f>F!B177</f>
        <v>Width of Vegetated Zone within Wetland</v>
      </c>
      <c r="C128" s="993" t="str">
        <f>F!C177</f>
        <v>At the time during the growing season when the AA's water level is lowest, the average width of vegetated area in the AA that separates adjoining uplands from open water within the AA is:</v>
      </c>
      <c r="D128" s="630"/>
      <c r="E128" s="547"/>
      <c r="F128" s="543"/>
      <c r="G128" s="553">
        <f>IF((AllSat1&gt;0),"",IF((NoOpenPonded=1),"",MAX(F129:F134)/MAX(E129:E134)))</f>
        <v>0</v>
      </c>
      <c r="H128" s="1669" t="s">
        <v>1658</v>
      </c>
      <c r="I128" s="1856" t="s">
        <v>257</v>
      </c>
    </row>
    <row r="129" spans="1:9" ht="21" customHeight="1" x14ac:dyDescent="0.2">
      <c r="A129" s="2113"/>
      <c r="B129" s="2092"/>
      <c r="C129" s="992" t="str">
        <f>F!C178</f>
        <v>&lt;1 m.</v>
      </c>
      <c r="D129" s="124">
        <f>F!D178</f>
        <v>0</v>
      </c>
      <c r="E129" s="554">
        <v>0</v>
      </c>
      <c r="F129" s="536">
        <f t="shared" ref="F129:F134" si="7">D129*E129</f>
        <v>0</v>
      </c>
      <c r="G129" s="555"/>
      <c r="H129" s="1670"/>
      <c r="I129" s="1925"/>
    </row>
    <row r="130" spans="1:9" ht="21" customHeight="1" x14ac:dyDescent="0.2">
      <c r="A130" s="2113"/>
      <c r="B130" s="2092"/>
      <c r="C130" s="721" t="str">
        <f>F!C179</f>
        <v>1 - 9 m.</v>
      </c>
      <c r="D130" s="124">
        <f>F!D179</f>
        <v>0</v>
      </c>
      <c r="E130" s="554">
        <v>1</v>
      </c>
      <c r="F130" s="536">
        <f t="shared" si="7"/>
        <v>0</v>
      </c>
      <c r="G130" s="550"/>
      <c r="H130" s="1670"/>
      <c r="I130" s="1925"/>
    </row>
    <row r="131" spans="1:9" ht="21" customHeight="1" x14ac:dyDescent="0.2">
      <c r="A131" s="2113"/>
      <c r="B131" s="2092"/>
      <c r="C131" s="721" t="str">
        <f>F!C180</f>
        <v>10 - 29 m.</v>
      </c>
      <c r="D131" s="124">
        <f>F!D180</f>
        <v>0</v>
      </c>
      <c r="E131" s="554">
        <v>2</v>
      </c>
      <c r="F131" s="536">
        <f t="shared" si="7"/>
        <v>0</v>
      </c>
      <c r="G131" s="550"/>
      <c r="H131" s="1670"/>
      <c r="I131" s="1925"/>
    </row>
    <row r="132" spans="1:9" ht="21" customHeight="1" x14ac:dyDescent="0.2">
      <c r="A132" s="2113"/>
      <c r="B132" s="2092"/>
      <c r="C132" s="721" t="str">
        <f>F!C181</f>
        <v>30 - 49 m.</v>
      </c>
      <c r="D132" s="124">
        <f>F!D181</f>
        <v>0</v>
      </c>
      <c r="E132" s="554">
        <v>3</v>
      </c>
      <c r="F132" s="536">
        <f t="shared" si="7"/>
        <v>0</v>
      </c>
      <c r="G132" s="550"/>
      <c r="H132" s="1670"/>
      <c r="I132" s="1925"/>
    </row>
    <row r="133" spans="1:9" ht="21" customHeight="1" x14ac:dyDescent="0.2">
      <c r="A133" s="2113"/>
      <c r="B133" s="2092"/>
      <c r="C133" s="721" t="str">
        <f>F!C182</f>
        <v>50 - 100 m.</v>
      </c>
      <c r="D133" s="124">
        <f>F!D182</f>
        <v>0</v>
      </c>
      <c r="E133" s="554">
        <v>4</v>
      </c>
      <c r="F133" s="536">
        <f t="shared" si="7"/>
        <v>0</v>
      </c>
      <c r="G133" s="550"/>
      <c r="H133" s="1670"/>
      <c r="I133" s="1925"/>
    </row>
    <row r="134" spans="1:9" ht="21" customHeight="1" thickBot="1" x14ac:dyDescent="0.25">
      <c r="A134" s="2113"/>
      <c r="B134" s="2092"/>
      <c r="C134" s="721" t="str">
        <f>F!C183</f>
        <v>&gt; 100 m, or open water is absent at that time.</v>
      </c>
      <c r="D134" s="124">
        <f>F!D183</f>
        <v>0</v>
      </c>
      <c r="E134" s="556">
        <v>6</v>
      </c>
      <c r="F134" s="544">
        <f t="shared" si="7"/>
        <v>0</v>
      </c>
      <c r="G134" s="557"/>
      <c r="H134" s="1671"/>
      <c r="I134" s="1936"/>
    </row>
    <row r="135" spans="1:9" ht="30" customHeight="1" thickBot="1" x14ac:dyDescent="0.25">
      <c r="A135" s="2114" t="str">
        <f>F!A195</f>
        <v>F37</v>
      </c>
      <c r="B135" s="2091" t="str">
        <f>F!B195</f>
        <v>Interspersion of Emergents &amp; Open Water</v>
      </c>
      <c r="C135" s="523" t="str">
        <f>F!C195</f>
        <v>During most of the part of the growing season when water is present, the spatial pattern of emergent vegetation within the water is mostly:</v>
      </c>
      <c r="D135" s="534"/>
      <c r="E135" s="546"/>
      <c r="F135" s="545"/>
      <c r="G135" s="558">
        <f>IF((AllSat1&gt;0),"",IF((NoPonded=1),"",IF((NoOpenPonded+NoOpenPonded1&gt;0),"",IF((AllOpenPond=1),"",IF((NoRobustEm=1),"",MAX(F136:F138)/MAX(E136:E138))))))</f>
        <v>0</v>
      </c>
      <c r="H135" s="1669" t="s">
        <v>1185</v>
      </c>
      <c r="I135" s="1856" t="s">
        <v>256</v>
      </c>
    </row>
    <row r="136" spans="1:9" ht="15" customHeight="1" x14ac:dyDescent="0.2">
      <c r="A136" s="2095"/>
      <c r="B136" s="2092"/>
      <c r="C136" s="524" t="str">
        <f>F!C196</f>
        <v>Scattered. More than 30% of such vegetation forms small islands or corridors surrounded by water.</v>
      </c>
      <c r="D136" s="160">
        <f>F!D196</f>
        <v>0</v>
      </c>
      <c r="E136" s="554">
        <v>3</v>
      </c>
      <c r="F136" s="536">
        <f>D136*E136</f>
        <v>0</v>
      </c>
      <c r="G136" s="537"/>
      <c r="H136" s="1670"/>
      <c r="I136" s="1925"/>
    </row>
    <row r="137" spans="1:9" ht="15" customHeight="1" x14ac:dyDescent="0.2">
      <c r="A137" s="2095"/>
      <c r="B137" s="2092"/>
      <c r="C137" s="525" t="str">
        <f>F!C197</f>
        <v>Intermediate.</v>
      </c>
      <c r="D137" s="124">
        <f>F!D197</f>
        <v>0</v>
      </c>
      <c r="E137" s="554">
        <v>2</v>
      </c>
      <c r="F137" s="536">
        <f>D137*E137</f>
        <v>0</v>
      </c>
      <c r="G137" s="537"/>
      <c r="H137" s="1670"/>
      <c r="I137" s="1925"/>
    </row>
    <row r="138" spans="1:9" ht="27" customHeight="1" thickBot="1" x14ac:dyDescent="0.25">
      <c r="A138" s="2096"/>
      <c r="B138" s="2093"/>
      <c r="C138" s="526" t="str">
        <f>F!C198</f>
        <v>Clumped. More than 70% of such vegetation is in bands along the wetland perimeter or is clumped at one or a few sides of the surface water area.</v>
      </c>
      <c r="D138" s="125">
        <f>F!D198</f>
        <v>0</v>
      </c>
      <c r="E138" s="552">
        <v>1</v>
      </c>
      <c r="F138" s="538">
        <f>D138*E138</f>
        <v>0</v>
      </c>
      <c r="G138" s="539"/>
      <c r="H138" s="1671"/>
      <c r="I138" s="1936"/>
    </row>
    <row r="139" spans="1:9" ht="21" customHeight="1" thickBot="1" x14ac:dyDescent="0.25">
      <c r="A139" s="2115" t="str">
        <f>F!A233</f>
        <v>F49</v>
      </c>
      <c r="B139" s="2091" t="str">
        <f>F!B233</f>
        <v>Beaver Probability</v>
      </c>
      <c r="C139" s="523" t="str">
        <f>F!C233</f>
        <v>Use of the AA by beaver during the past 5 years is (select most applicable ONE):</v>
      </c>
      <c r="D139" s="534"/>
      <c r="E139" s="534"/>
      <c r="F139" s="545"/>
      <c r="G139" s="558">
        <f>IF((AllSat1&gt;0),"", MAX(F140:F142)/MAX(E140:E142))</f>
        <v>0</v>
      </c>
      <c r="H139" s="1669" t="s">
        <v>1406</v>
      </c>
      <c r="I139" s="1856" t="s">
        <v>243</v>
      </c>
    </row>
    <row r="140" spans="1:9" ht="27" customHeight="1" x14ac:dyDescent="0.2">
      <c r="A140" s="2116"/>
      <c r="B140" s="2092"/>
      <c r="C140" s="94" t="str">
        <f>F!C234</f>
        <v>Evident from direct observation or presence of gnawed limbs, dams, tracks, dens, lodges, or extensive stands of water-killed trees (snags).</v>
      </c>
      <c r="D140" s="161">
        <f>F!D234</f>
        <v>0</v>
      </c>
      <c r="E140" s="542">
        <v>3</v>
      </c>
      <c r="F140" s="536">
        <f>D140*E140</f>
        <v>0</v>
      </c>
      <c r="G140" s="549"/>
      <c r="H140" s="1670"/>
      <c r="I140" s="1925"/>
    </row>
    <row r="141" spans="1:9" ht="42" customHeight="1" x14ac:dyDescent="0.2">
      <c r="A141" s="2116"/>
      <c r="B141" s="2092"/>
      <c r="C141" s="528" t="str">
        <f>F!C235</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141" s="162">
        <f>F!D235</f>
        <v>0</v>
      </c>
      <c r="E141" s="542">
        <v>2</v>
      </c>
      <c r="F141" s="536">
        <f>D141*E141</f>
        <v>0</v>
      </c>
      <c r="G141" s="550"/>
      <c r="H141" s="1670"/>
      <c r="I141" s="1925"/>
    </row>
    <row r="142" spans="1:9" ht="27" customHeight="1" thickBot="1" x14ac:dyDescent="0.25">
      <c r="A142" s="2117"/>
      <c r="B142" s="2093"/>
      <c r="C142" s="526" t="str">
        <f>F!C236</f>
        <v xml:space="preserve">Unlikely because site characteristics above are deficient, and/or this is a settled area or other area where beaver are routinely removed. </v>
      </c>
      <c r="D142" s="125">
        <f>F!D236</f>
        <v>0</v>
      </c>
      <c r="E142" s="657">
        <v>0</v>
      </c>
      <c r="F142" s="538">
        <f>D142*E142</f>
        <v>0</v>
      </c>
      <c r="G142" s="682"/>
      <c r="H142" s="1671"/>
      <c r="I142" s="1936"/>
    </row>
    <row r="143" spans="1:9" ht="45" customHeight="1" thickBot="1" x14ac:dyDescent="0.25">
      <c r="A143" s="2094" t="str">
        <f>F!A247</f>
        <v>F52</v>
      </c>
      <c r="B143" s="2091" t="str">
        <f>F!B247</f>
        <v>Vegetated Buffer as % of Perimeter</v>
      </c>
      <c r="C143" s="93" t="str">
        <f>F!C247</f>
        <v>Within a zone extending 30 m laterally from the AA's edge with upland and/or other wetlands, the percentage that contains perennial vegetation cover (except lawns, row crops, heavily grazed land, conifer plantations) is:</v>
      </c>
      <c r="D143" s="630"/>
      <c r="E143" s="630"/>
      <c r="F143" s="545"/>
      <c r="G143" s="400">
        <f>MAX(F144:F148)/MAX(E144:E148)</f>
        <v>0</v>
      </c>
      <c r="H143" s="1669" t="s">
        <v>1692</v>
      </c>
      <c r="I143" s="1856" t="s">
        <v>1586</v>
      </c>
    </row>
    <row r="144" spans="1:9" ht="15" customHeight="1" x14ac:dyDescent="0.2">
      <c r="A144" s="2095"/>
      <c r="B144" s="2092"/>
      <c r="C144" s="524" t="str">
        <f>F!C248</f>
        <v>&lt;5%.</v>
      </c>
      <c r="D144" s="124">
        <f>F!D248</f>
        <v>0</v>
      </c>
      <c r="E144" s="187">
        <v>0</v>
      </c>
      <c r="F144" s="187">
        <f>D144*E144</f>
        <v>0</v>
      </c>
      <c r="G144" s="550"/>
      <c r="H144" s="1670"/>
      <c r="I144" s="1925"/>
    </row>
    <row r="145" spans="1:9" ht="15" customHeight="1" x14ac:dyDescent="0.2">
      <c r="A145" s="2095"/>
      <c r="B145" s="2092"/>
      <c r="C145" s="525" t="str">
        <f>F!C249</f>
        <v>5 to 30%.</v>
      </c>
      <c r="D145" s="124">
        <f>F!D249</f>
        <v>0</v>
      </c>
      <c r="E145" s="187">
        <v>1</v>
      </c>
      <c r="F145" s="187">
        <f>D145*E145</f>
        <v>0</v>
      </c>
      <c r="G145" s="550"/>
      <c r="H145" s="1670"/>
      <c r="I145" s="1925"/>
    </row>
    <row r="146" spans="1:9" ht="15" customHeight="1" x14ac:dyDescent="0.2">
      <c r="A146" s="2095"/>
      <c r="B146" s="2092"/>
      <c r="C146" s="525" t="str">
        <f>F!C250</f>
        <v>30 to 60%.</v>
      </c>
      <c r="D146" s="124">
        <f>F!D250</f>
        <v>0</v>
      </c>
      <c r="E146" s="187">
        <v>2</v>
      </c>
      <c r="F146" s="187">
        <f>D146*E146</f>
        <v>0</v>
      </c>
      <c r="G146" s="550"/>
      <c r="H146" s="1670"/>
      <c r="I146" s="1925"/>
    </row>
    <row r="147" spans="1:9" ht="15" customHeight="1" x14ac:dyDescent="0.2">
      <c r="A147" s="2095"/>
      <c r="B147" s="2092"/>
      <c r="C147" s="525" t="str">
        <f>F!C251</f>
        <v>60 to 90%.</v>
      </c>
      <c r="D147" s="124">
        <f>F!D251</f>
        <v>0</v>
      </c>
      <c r="E147" s="187">
        <v>4</v>
      </c>
      <c r="F147" s="187">
        <f>D147*E147</f>
        <v>0</v>
      </c>
      <c r="G147" s="550"/>
      <c r="H147" s="1670"/>
      <c r="I147" s="1925"/>
    </row>
    <row r="148" spans="1:9" ht="15" customHeight="1" thickBot="1" x14ac:dyDescent="0.25">
      <c r="A148" s="2096"/>
      <c r="B148" s="2093"/>
      <c r="C148" s="526" t="str">
        <f>F!C252</f>
        <v>&gt;90%, or all the area within 30 m of the AA edge is other wetlands. SKIP to F55.</v>
      </c>
      <c r="D148" s="125">
        <f>F!D252</f>
        <v>0</v>
      </c>
      <c r="E148" s="188">
        <v>5</v>
      </c>
      <c r="F148" s="188">
        <f>D148*E148</f>
        <v>0</v>
      </c>
      <c r="G148" s="682"/>
      <c r="H148" s="1671"/>
      <c r="I148" s="1936"/>
    </row>
    <row r="149" spans="1:9" ht="30" customHeight="1" thickBot="1" x14ac:dyDescent="0.25">
      <c r="A149" s="2106" t="str">
        <f>F!A253</f>
        <v>F53</v>
      </c>
      <c r="B149" s="2106" t="str">
        <f>F!B253</f>
        <v>Type of Cover in Buffer</v>
      </c>
      <c r="C149" s="527" t="str">
        <f>F!C253</f>
        <v>Within 30 m upslope of where the wetland transitions to upland, the upland land cover that is NOT perennial vegetation is mostly (mark ONE):</v>
      </c>
      <c r="D149" s="540"/>
      <c r="E149" s="542"/>
      <c r="F149" s="543"/>
      <c r="G149" s="553">
        <f>IF((BuffAllNat=1),"", MAX(F150:F151)/MAX(E150:E151))</f>
        <v>0</v>
      </c>
      <c r="H149" s="1696" t="s">
        <v>2597</v>
      </c>
      <c r="I149" s="2108" t="s">
        <v>247</v>
      </c>
    </row>
    <row r="150" spans="1:9" ht="15" customHeight="1" x14ac:dyDescent="0.2">
      <c r="A150" s="2106"/>
      <c r="B150" s="2106"/>
      <c r="C150" s="723" t="str">
        <f>F!C254</f>
        <v>Impervious surface, e.g., paved road, parking lot, building, exposed rock.</v>
      </c>
      <c r="D150" s="124">
        <f>F!D254</f>
        <v>0</v>
      </c>
      <c r="E150" s="554">
        <v>0</v>
      </c>
      <c r="F150" s="536">
        <f>D150*E150</f>
        <v>0</v>
      </c>
      <c r="G150" s="549"/>
      <c r="H150" s="1696"/>
      <c r="I150" s="2109"/>
    </row>
    <row r="151" spans="1:9" ht="27" customHeight="1" thickBot="1" x14ac:dyDescent="0.25">
      <c r="A151" s="2106"/>
      <c r="B151" s="2106"/>
      <c r="C151" s="725" t="str">
        <f>F!C255</f>
        <v>Bare or nearly bare pervious surface or managed vegetation, e.g., lawn, row crops, unpaved road, dike, landslide.</v>
      </c>
      <c r="D151" s="724">
        <f>F!D255</f>
        <v>0</v>
      </c>
      <c r="E151" s="538">
        <v>1</v>
      </c>
      <c r="F151" s="544">
        <f>D151*E151</f>
        <v>0</v>
      </c>
      <c r="G151" s="557"/>
      <c r="H151" s="1712"/>
      <c r="I151" s="2110"/>
    </row>
    <row r="152" spans="1:9" ht="45" customHeight="1" thickBot="1" x14ac:dyDescent="0.25">
      <c r="A152" s="93" t="str">
        <f>F!A261</f>
        <v>F55</v>
      </c>
      <c r="B152" s="93" t="str">
        <f>F!B261</f>
        <v xml:space="preserve">Cliffs or Steep Banks </v>
      </c>
      <c r="C152" s="529" t="str">
        <f>F!C261</f>
        <v>In the AA or within 100 m, there are elevated terrestrial features such as cliffs, talus slopes, stream banks, or excavated pits (but not riprap) that extend at least 2 m nearly vertically, are unvegetated, and potentially contain crevices or other substrate suitable for nesting or den areas. Enter 1 (yes) or 0 (no).</v>
      </c>
      <c r="D152" s="163">
        <f>F!D261</f>
        <v>0</v>
      </c>
      <c r="E152" s="551">
        <v>1</v>
      </c>
      <c r="F152" s="561">
        <f>D152*E152</f>
        <v>0</v>
      </c>
      <c r="G152" s="558" t="str">
        <f>IF((D152=1),1,"")</f>
        <v/>
      </c>
      <c r="H152" s="36" t="s">
        <v>1579</v>
      </c>
      <c r="I152" s="184" t="s">
        <v>242</v>
      </c>
    </row>
    <row r="153" spans="1:9" ht="63" customHeight="1" thickBot="1" x14ac:dyDescent="0.25">
      <c r="A153" s="2106" t="str">
        <f>F!A282</f>
        <v>F60</v>
      </c>
      <c r="B153" s="2106" t="str">
        <f>F!B282</f>
        <v xml:space="preserve">Unvisited Core Area </v>
      </c>
      <c r="C153" s="527" t="str">
        <f>F!C282</f>
        <v>The percentage of the AA almost never visited by humans during an average growing season probably comprises: [Note: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v>
      </c>
      <c r="D153" s="534"/>
      <c r="E153" s="542"/>
      <c r="F153" s="543"/>
      <c r="G153" s="553">
        <f>MAX(F154:F159)/MAX(E154:E159)</f>
        <v>0</v>
      </c>
      <c r="H153" s="1693" t="s">
        <v>2598</v>
      </c>
      <c r="I153" s="1856" t="s">
        <v>244</v>
      </c>
    </row>
    <row r="154" spans="1:9" ht="15" customHeight="1" x14ac:dyDescent="0.2">
      <c r="A154" s="2106"/>
      <c r="B154" s="2106"/>
      <c r="C154" s="722" t="str">
        <f>F!C283</f>
        <v>&lt;5% and no inhabited building is within 100 m of the AA.</v>
      </c>
      <c r="D154" s="162">
        <f>F!D283</f>
        <v>0</v>
      </c>
      <c r="E154" s="672">
        <v>1</v>
      </c>
      <c r="F154" s="536">
        <f t="shared" ref="F154:F159" si="8">D154*E154</f>
        <v>0</v>
      </c>
      <c r="G154" s="549"/>
      <c r="H154" s="2106"/>
      <c r="I154" s="1925"/>
    </row>
    <row r="155" spans="1:9" ht="15" customHeight="1" x14ac:dyDescent="0.2">
      <c r="A155" s="2106"/>
      <c r="B155" s="2106"/>
      <c r="C155" s="94" t="str">
        <f>F!C284</f>
        <v>&lt;5% and inhabited building is within 100 m of the AA.</v>
      </c>
      <c r="D155" s="124">
        <f>F!D284</f>
        <v>0</v>
      </c>
      <c r="E155" s="672">
        <v>0</v>
      </c>
      <c r="F155" s="536">
        <f t="shared" si="8"/>
        <v>0</v>
      </c>
      <c r="G155" s="550"/>
      <c r="H155" s="2106"/>
      <c r="I155" s="1925"/>
    </row>
    <row r="156" spans="1:9" ht="15" customHeight="1" x14ac:dyDescent="0.2">
      <c r="A156" s="2106"/>
      <c r="B156" s="2106"/>
      <c r="C156" s="525" t="str">
        <f>F!C285</f>
        <v>5-50% and no inhabited building is within 100 m of the AA.</v>
      </c>
      <c r="D156" s="124">
        <f>F!D285</f>
        <v>0</v>
      </c>
      <c r="E156" s="672">
        <v>3</v>
      </c>
      <c r="F156" s="536">
        <f t="shared" si="8"/>
        <v>0</v>
      </c>
      <c r="G156" s="550"/>
      <c r="H156" s="2106"/>
      <c r="I156" s="1925"/>
    </row>
    <row r="157" spans="1:9" ht="15" customHeight="1" x14ac:dyDescent="0.2">
      <c r="A157" s="2106"/>
      <c r="B157" s="2106"/>
      <c r="C157" s="94" t="str">
        <f>F!C286</f>
        <v>5-50% and inhabited building is within 100 m of the AA.</v>
      </c>
      <c r="D157" s="161">
        <f>F!D286</f>
        <v>0</v>
      </c>
      <c r="E157" s="672">
        <v>2</v>
      </c>
      <c r="F157" s="536">
        <f t="shared" si="8"/>
        <v>0</v>
      </c>
      <c r="G157" s="557"/>
      <c r="H157" s="2106"/>
      <c r="I157" s="1925"/>
    </row>
    <row r="158" spans="1:9" ht="15" customHeight="1" x14ac:dyDescent="0.2">
      <c r="A158" s="2106"/>
      <c r="B158" s="2106"/>
      <c r="C158" s="525" t="str">
        <f>F!C287</f>
        <v>50-95%, with or without inhabited building nearby.</v>
      </c>
      <c r="D158" s="124">
        <f>F!D287</f>
        <v>0</v>
      </c>
      <c r="E158" s="672">
        <v>4</v>
      </c>
      <c r="F158" s="536">
        <f t="shared" si="8"/>
        <v>0</v>
      </c>
      <c r="G158" s="557"/>
      <c r="H158" s="2106"/>
      <c r="I158" s="1925"/>
    </row>
    <row r="159" spans="1:9" ht="15" customHeight="1" thickBot="1" x14ac:dyDescent="0.25">
      <c r="A159" s="2106"/>
      <c r="B159" s="2106"/>
      <c r="C159" s="530" t="str">
        <f>F!C288</f>
        <v>&gt;95% of the AA with or without inhabited building nearby.</v>
      </c>
      <c r="D159" s="164">
        <f>F!D288</f>
        <v>0</v>
      </c>
      <c r="E159" s="712">
        <v>5</v>
      </c>
      <c r="F159" s="544">
        <f t="shared" si="8"/>
        <v>0</v>
      </c>
      <c r="G159" s="557"/>
      <c r="H159" s="2112"/>
      <c r="I159" s="1936"/>
    </row>
    <row r="160" spans="1:9" ht="32.450000000000003" customHeight="1" thickBot="1" x14ac:dyDescent="0.25">
      <c r="A160" s="2111" t="str">
        <f>F!A289</f>
        <v>F61</v>
      </c>
      <c r="B160" s="2111" t="str">
        <f>F!B289</f>
        <v>Frequently Visited Area</v>
      </c>
      <c r="C160" s="523" t="str">
        <f>F!C289</f>
        <v>The part of the AA visited by humans almost daily for several weeks during an average growing season probably comprises:  [See note above.]</v>
      </c>
      <c r="D160" s="630"/>
      <c r="E160" s="290"/>
      <c r="F160" s="545"/>
      <c r="G160" s="558">
        <f>MAX(F161:F164)/MAX(E161:E164)</f>
        <v>0</v>
      </c>
      <c r="H160" s="2111" t="s">
        <v>87</v>
      </c>
      <c r="I160" s="1856" t="s">
        <v>245</v>
      </c>
    </row>
    <row r="161" spans="1:9" ht="15" customHeight="1" x14ac:dyDescent="0.2">
      <c r="A161" s="2106"/>
      <c r="B161" s="2106"/>
      <c r="C161" s="524" t="str">
        <f>F!C290</f>
        <v>&lt;5%. If F60 was answered "&gt;95%" (mostly never visited), SKIP to F64.</v>
      </c>
      <c r="D161" s="124">
        <f>F!D290</f>
        <v>0</v>
      </c>
      <c r="E161" s="672">
        <v>3</v>
      </c>
      <c r="F161" s="536">
        <f>D161*E161</f>
        <v>0</v>
      </c>
      <c r="G161" s="549"/>
      <c r="H161" s="2106"/>
      <c r="I161" s="1925"/>
    </row>
    <row r="162" spans="1:9" ht="15" customHeight="1" x14ac:dyDescent="0.2">
      <c r="A162" s="2106"/>
      <c r="B162" s="2106"/>
      <c r="C162" s="525" t="str">
        <f>F!C291</f>
        <v>5-50%.</v>
      </c>
      <c r="D162" s="124">
        <f>F!D291</f>
        <v>0</v>
      </c>
      <c r="E162" s="672">
        <v>2</v>
      </c>
      <c r="F162" s="536">
        <f>D162*E162</f>
        <v>0</v>
      </c>
      <c r="G162" s="550"/>
      <c r="H162" s="2106"/>
      <c r="I162" s="1925"/>
    </row>
    <row r="163" spans="1:9" ht="15" customHeight="1" x14ac:dyDescent="0.2">
      <c r="A163" s="2106"/>
      <c r="B163" s="2106"/>
      <c r="C163" s="525" t="str">
        <f>F!C292</f>
        <v>50-95%.</v>
      </c>
      <c r="D163" s="124">
        <f>F!D292</f>
        <v>0</v>
      </c>
      <c r="E163" s="672">
        <v>1</v>
      </c>
      <c r="F163" s="536">
        <f>D163*E163</f>
        <v>0</v>
      </c>
      <c r="G163" s="550"/>
      <c r="H163" s="2106"/>
      <c r="I163" s="1925"/>
    </row>
    <row r="164" spans="1:9" ht="15" customHeight="1" thickBot="1" x14ac:dyDescent="0.25">
      <c r="A164" s="2106"/>
      <c r="B164" s="2106"/>
      <c r="C164" s="528" t="str">
        <f>F!C293</f>
        <v>&gt;95% of the AA.</v>
      </c>
      <c r="D164" s="162">
        <f>F!D293</f>
        <v>0</v>
      </c>
      <c r="E164" s="712">
        <v>0</v>
      </c>
      <c r="F164" s="544">
        <f>D164*E164</f>
        <v>0</v>
      </c>
      <c r="G164" s="557"/>
      <c r="H164" s="2106"/>
      <c r="I164" s="1925"/>
    </row>
    <row r="165" spans="1:9" s="56" customFormat="1" ht="36" customHeight="1" thickBot="1" x14ac:dyDescent="0.25">
      <c r="A165" s="849" t="s">
        <v>88</v>
      </c>
      <c r="B165" s="850" t="s">
        <v>1901</v>
      </c>
      <c r="C165" s="994" t="s">
        <v>1164</v>
      </c>
      <c r="D165" s="851" t="s">
        <v>45</v>
      </c>
      <c r="E165" s="944" t="s">
        <v>1188</v>
      </c>
      <c r="F165" s="928" t="s">
        <v>1189</v>
      </c>
      <c r="G165" s="945" t="s">
        <v>2558</v>
      </c>
      <c r="H165" s="850" t="s">
        <v>1117</v>
      </c>
      <c r="I165" s="856" t="s">
        <v>2427</v>
      </c>
    </row>
    <row r="166" spans="1:9" ht="114" customHeight="1" thickBot="1" x14ac:dyDescent="0.25">
      <c r="A166" s="93" t="str">
        <f>OF!A39</f>
        <v>OF6</v>
      </c>
      <c r="B166" s="93" t="str">
        <f>OF!B39</f>
        <v>Herbaceous Uniqueness</v>
      </c>
      <c r="C166" s="529" t="str">
        <f>OF!C39</f>
        <v xml:space="preserve">The AA's vegetation cover is &gt;10% herbaceous* but uplands within 5 km have &lt;10% herbaceous cover. If so, enter "3" and continue to OF7.  If not, consider: 
The AA's vegetation cover is &gt;10% herbaceous* but uplands within 1 km have &lt;10% herbaceous cover. If so enter "2" and continue to OF7.  If not, consider: 
The AA's vegetation cover is &gt;10% herbaceous* but uplands within 100 m of the wetland edge have &lt;10% herbaceous cover.  If so, enter "1".
[* NOTE: Exclude lawns, row crops, heavily grazed lands, forest, shrublands. Include moss as well as grasslike plants in this use of "herbaceous vegetation"]
</v>
      </c>
      <c r="D166" s="163">
        <f>OF!D39</f>
        <v>0</v>
      </c>
      <c r="E166" s="996"/>
      <c r="F166" s="997"/>
      <c r="G166" s="990">
        <f>D166/3</f>
        <v>0</v>
      </c>
      <c r="H166" s="3" t="s">
        <v>2235</v>
      </c>
      <c r="I166" s="55" t="s">
        <v>1588</v>
      </c>
    </row>
    <row r="167" spans="1:9" ht="102" customHeight="1" thickBot="1" x14ac:dyDescent="0.25">
      <c r="A167" s="940" t="str">
        <f>OF!A40</f>
        <v>OF7</v>
      </c>
      <c r="B167" s="940" t="str">
        <f>OF!B40</f>
        <v>Woody Uniqueness</v>
      </c>
      <c r="C167" s="17" t="str">
        <f>OF!C40</f>
        <v xml:space="preserve">The AA's vegetation cover is &gt;10% woody* but uplands within 5 km have &lt;10% woody cover. If so, enter "3" and continue to OF8.  If not, consider: 
The AA's vegetation is &gt;10% woody* but uplands within 1 km have &lt;10% woody cover. If so enter "2" and continue to OF8.  If not, consider: 
The AA's vegetation is &gt;10%  woody* but uplands within 100 m of the wetland edge have &lt;10% woody cover.  If so, enter "1"  
 [* NOTE: woody cover = trees &amp; shrubs taller than 1 m.]
</v>
      </c>
      <c r="D167" s="1099">
        <f>OF!D40</f>
        <v>0</v>
      </c>
      <c r="E167" s="995"/>
      <c r="F167" s="995"/>
      <c r="G167" s="989">
        <f>D167/3</f>
        <v>0</v>
      </c>
      <c r="H167" s="68" t="s">
        <v>2236</v>
      </c>
      <c r="I167" s="776" t="s">
        <v>2872</v>
      </c>
    </row>
    <row r="168" spans="1:9" ht="30" customHeight="1" thickBot="1" x14ac:dyDescent="0.25">
      <c r="A168" s="2094" t="str">
        <f>OF!A64</f>
        <v>OF13</v>
      </c>
      <c r="B168" s="2091" t="str">
        <f>OF!B64</f>
        <v>Distance to Ponded Water</v>
      </c>
      <c r="C168" s="93" t="str">
        <f>OF!C64</f>
        <v>The distance from the AA center to the closest (but separate) ponded water body visible in GoogleEarth imagery is:</v>
      </c>
      <c r="D168" s="1103"/>
      <c r="E168" s="290"/>
      <c r="F168" s="191"/>
      <c r="G168" s="310">
        <f>MAX(F169:F175)/MAX(E169:E175)</f>
        <v>0</v>
      </c>
      <c r="H168" s="1669" t="s">
        <v>2374</v>
      </c>
      <c r="I168" s="1856" t="s">
        <v>2373</v>
      </c>
    </row>
    <row r="169" spans="1:9" ht="25.5" x14ac:dyDescent="0.2">
      <c r="A169" s="2095"/>
      <c r="B169" s="2092"/>
      <c r="C169" s="1104" t="str">
        <f>OF!C65</f>
        <v xml:space="preserve">&lt;50 m, and not separated by any width of paved roads, stretches of open water, row crops, lawn, bare ground, or impervious surface. </v>
      </c>
      <c r="D169" s="124">
        <f>OF!D65</f>
        <v>0</v>
      </c>
      <c r="E169" s="211">
        <v>0</v>
      </c>
      <c r="F169" s="187">
        <f t="shared" ref="F169:F175" si="9">D169*E169</f>
        <v>0</v>
      </c>
      <c r="G169" s="189"/>
      <c r="H169" s="1670"/>
      <c r="I169" s="1925"/>
    </row>
    <row r="170" spans="1:9" x14ac:dyDescent="0.2">
      <c r="A170" s="2095"/>
      <c r="B170" s="2092"/>
      <c r="C170" s="1102" t="str">
        <f>OF!C66</f>
        <v>&lt;50 m, but completely separated by those features.</v>
      </c>
      <c r="D170" s="124">
        <f>OF!D66</f>
        <v>0</v>
      </c>
      <c r="E170" s="211">
        <v>0</v>
      </c>
      <c r="F170" s="187">
        <f t="shared" si="9"/>
        <v>0</v>
      </c>
      <c r="G170" s="212"/>
      <c r="H170" s="1670"/>
      <c r="I170" s="1925"/>
    </row>
    <row r="171" spans="1:9" x14ac:dyDescent="0.2">
      <c r="A171" s="2095"/>
      <c r="B171" s="2092"/>
      <c r="C171" s="1102" t="str">
        <f>OF!C67</f>
        <v>50-500 m, and not separated.</v>
      </c>
      <c r="D171" s="124">
        <f>OF!D67</f>
        <v>0</v>
      </c>
      <c r="E171" s="211">
        <v>1</v>
      </c>
      <c r="F171" s="187">
        <f t="shared" si="9"/>
        <v>0</v>
      </c>
      <c r="G171" s="212"/>
      <c r="H171" s="1670"/>
      <c r="I171" s="1925"/>
    </row>
    <row r="172" spans="1:9" x14ac:dyDescent="0.2">
      <c r="A172" s="2095"/>
      <c r="B172" s="2092"/>
      <c r="C172" s="1102" t="str">
        <f>OF!C68</f>
        <v>50-500 m, but separated by those features.</v>
      </c>
      <c r="D172" s="124">
        <f>OF!D68</f>
        <v>0</v>
      </c>
      <c r="E172" s="211">
        <v>1</v>
      </c>
      <c r="F172" s="187">
        <f t="shared" si="9"/>
        <v>0</v>
      </c>
      <c r="G172" s="212"/>
      <c r="H172" s="1670"/>
      <c r="I172" s="1925"/>
    </row>
    <row r="173" spans="1:9" x14ac:dyDescent="0.2">
      <c r="A173" s="2095"/>
      <c r="B173" s="2092"/>
      <c r="C173" s="1102" t="str">
        <f>OF!C69</f>
        <v>0.5 - 1 km, and not separated.</v>
      </c>
      <c r="D173" s="124">
        <f>OF!D69</f>
        <v>0</v>
      </c>
      <c r="E173" s="211">
        <v>2</v>
      </c>
      <c r="F173" s="187">
        <f t="shared" si="9"/>
        <v>0</v>
      </c>
      <c r="G173" s="212"/>
      <c r="H173" s="1670"/>
      <c r="I173" s="1925"/>
    </row>
    <row r="174" spans="1:9" x14ac:dyDescent="0.2">
      <c r="A174" s="2095"/>
      <c r="B174" s="2092"/>
      <c r="C174" s="1102" t="str">
        <f>OF!C70</f>
        <v>0.5 - 1 km, but separated by those features.</v>
      </c>
      <c r="D174" s="124">
        <f>OF!D70</f>
        <v>0</v>
      </c>
      <c r="E174" s="211">
        <v>2</v>
      </c>
      <c r="F174" s="187">
        <f t="shared" si="9"/>
        <v>0</v>
      </c>
      <c r="G174" s="212"/>
      <c r="H174" s="1670"/>
      <c r="I174" s="1925"/>
    </row>
    <row r="175" spans="1:9" ht="17.25" thickBot="1" x14ac:dyDescent="0.25">
      <c r="A175" s="2096"/>
      <c r="B175" s="2093"/>
      <c r="C175" s="725" t="str">
        <f>OF!C71</f>
        <v>None of the above (the closest patches or corridors that large are &gt;1 km away).</v>
      </c>
      <c r="D175" s="125">
        <f>OF!D71</f>
        <v>0</v>
      </c>
      <c r="E175" s="215">
        <v>4</v>
      </c>
      <c r="F175" s="188">
        <f t="shared" si="9"/>
        <v>0</v>
      </c>
      <c r="G175" s="216"/>
      <c r="H175" s="1671"/>
      <c r="I175" s="1936"/>
    </row>
    <row r="176" spans="1:9" ht="64.5" customHeight="1" thickBot="1" x14ac:dyDescent="0.25">
      <c r="A176" s="483" t="str">
        <f>OF!A139</f>
        <v>OF29</v>
      </c>
      <c r="B176" s="788" t="str">
        <f>OF!B139</f>
        <v>Species of Conservation Concern</v>
      </c>
      <c r="C176" s="726" t="str">
        <f>OF!C143</f>
        <v>Presence of one or more of the nesting songbird or raptor species (SBM) of conservation concern as listed in the Wildlife_Rare worksheet of the accompanying SuppInfo file, during their nesting season (May-July for most species).</v>
      </c>
      <c r="D176" s="1100">
        <f>OF!D143</f>
        <v>0</v>
      </c>
      <c r="E176" s="1097"/>
      <c r="F176" s="493"/>
      <c r="G176" s="1101">
        <f>D176</f>
        <v>0</v>
      </c>
      <c r="H176" s="434" t="s">
        <v>1474</v>
      </c>
      <c r="I176" s="184" t="s">
        <v>255</v>
      </c>
    </row>
    <row r="177" spans="1:9" ht="30" customHeight="1" thickBot="1" x14ac:dyDescent="0.25">
      <c r="A177" s="93" t="str">
        <f>OF!A145</f>
        <v>OF30</v>
      </c>
      <c r="B177" s="93" t="str">
        <f>OF!B145</f>
        <v>Important Bird Area (IBA)</v>
      </c>
      <c r="C177" s="1451" t="str">
        <f>OF!C145</f>
        <v xml:space="preserve">In Google Earth, open the KMZ file that accompanies this calculator, called IBAs_Canada.  The AA is all or part of an officially designated IBA. Enter 1= yes, 0= no. </v>
      </c>
      <c r="D177" s="1450">
        <f>OF!D145</f>
        <v>0</v>
      </c>
      <c r="E177" s="548"/>
      <c r="F177" s="658"/>
      <c r="G177" s="990">
        <f>D177</f>
        <v>0</v>
      </c>
      <c r="H177" s="3" t="s">
        <v>75</v>
      </c>
      <c r="I177" s="55" t="s">
        <v>254</v>
      </c>
    </row>
    <row r="178" spans="1:9" ht="21" customHeight="1" thickBot="1" x14ac:dyDescent="0.25">
      <c r="A178" s="2107"/>
      <c r="B178" s="2107"/>
      <c r="C178" s="2107"/>
      <c r="D178" s="2100"/>
      <c r="E178" s="2100"/>
      <c r="F178" s="2100"/>
      <c r="G178" s="2100"/>
      <c r="H178" s="2100"/>
    </row>
    <row r="179" spans="1:9" ht="21" customHeight="1" x14ac:dyDescent="0.2">
      <c r="A179" s="2103"/>
      <c r="B179" s="2103"/>
      <c r="C179" s="2103"/>
      <c r="D179" s="1998" t="s">
        <v>508</v>
      </c>
      <c r="E179" s="1999"/>
      <c r="F179" s="1999"/>
      <c r="G179" s="980">
        <f>AVERAGE(Gcover14, Girreg14,Cliffs14, SnagD14,WoodDown14,DeerHab14)</f>
        <v>0</v>
      </c>
      <c r="H179" s="1029" t="s">
        <v>1678</v>
      </c>
      <c r="I179" s="1302" t="s">
        <v>2161</v>
      </c>
    </row>
    <row r="180" spans="1:9" ht="21" customHeight="1" x14ac:dyDescent="0.2">
      <c r="A180" s="2103"/>
      <c r="B180" s="2103"/>
      <c r="C180" s="2103"/>
      <c r="D180" s="1988" t="s">
        <v>509</v>
      </c>
      <c r="E180" s="1989"/>
      <c r="F180" s="1989"/>
      <c r="G180" s="981" t="str">
        <f>IF((MAX(F!D18:D21)&lt;3),"", AVERAGE(WoodyHtDiv14,ShrubDiv14, WoodPatt14, TreeTypes14))</f>
        <v/>
      </c>
      <c r="H180" s="1016" t="s">
        <v>1528</v>
      </c>
      <c r="I180" s="1303" t="s">
        <v>2162</v>
      </c>
    </row>
    <row r="181" spans="1:9" ht="21" customHeight="1" x14ac:dyDescent="0.2">
      <c r="A181" s="2103"/>
      <c r="B181" s="2103"/>
      <c r="C181" s="2103"/>
      <c r="D181" s="1988" t="s">
        <v>149</v>
      </c>
      <c r="E181" s="1989"/>
      <c r="F181" s="1989"/>
      <c r="G181" s="981">
        <f>(AVERAGE(SizeHerbac14,Vwidth14))*((AVERAGE(Nfix14, Inclus14, UpEdge14)))</f>
        <v>0</v>
      </c>
      <c r="H181" s="1016" t="s">
        <v>2193</v>
      </c>
      <c r="I181" s="1303" t="s">
        <v>2163</v>
      </c>
    </row>
    <row r="182" spans="1:9" ht="30" customHeight="1" x14ac:dyDescent="0.2">
      <c r="A182" s="2103"/>
      <c r="B182" s="2103"/>
      <c r="C182" s="2103"/>
      <c r="D182" s="1988" t="s">
        <v>118</v>
      </c>
      <c r="E182" s="1989"/>
      <c r="F182" s="1989"/>
      <c r="G182" s="981">
        <f>AVERAGE(WetTypeDiv14,BuffPerim14,CUtypeLU14, NatVegProx14, NatVegPctScape14, ScapeLU14, NatVegSize14)</f>
        <v>0</v>
      </c>
      <c r="H182" s="1016" t="s">
        <v>2059</v>
      </c>
      <c r="I182" s="1303" t="s">
        <v>2164</v>
      </c>
    </row>
    <row r="183" spans="1:9" ht="21" customHeight="1" x14ac:dyDescent="0.2">
      <c r="A183" s="2103"/>
      <c r="B183" s="2103"/>
      <c r="C183" s="2103"/>
      <c r="D183" s="2079" t="s">
        <v>192</v>
      </c>
      <c r="E183" s="2105"/>
      <c r="F183" s="2105"/>
      <c r="G183" s="982">
        <f>AVERAGE(SatPct14, PermWpct14, PondProx14, Beaver14a, Interspers14)</f>
        <v>0</v>
      </c>
      <c r="H183" s="1016" t="s">
        <v>1314</v>
      </c>
      <c r="I183" s="1303" t="s">
        <v>2165</v>
      </c>
    </row>
    <row r="184" spans="1:9" ht="21" customHeight="1" thickBot="1" x14ac:dyDescent="0.25">
      <c r="A184" s="2103"/>
      <c r="B184" s="2103"/>
      <c r="C184" s="2103"/>
      <c r="D184" s="1990" t="s">
        <v>1587</v>
      </c>
      <c r="E184" s="1991"/>
      <c r="F184" s="1991"/>
      <c r="G184" s="983">
        <f>AVERAGE(Core14a, Core14b, PopCtr14, RdBox14, DisRd14)</f>
        <v>0</v>
      </c>
      <c r="H184" s="1032" t="s">
        <v>2060</v>
      </c>
      <c r="I184" s="1304" t="s">
        <v>2166</v>
      </c>
    </row>
    <row r="185" spans="1:9" ht="21" customHeight="1" thickBot="1" x14ac:dyDescent="0.25">
      <c r="A185" s="2103"/>
      <c r="B185" s="2103"/>
      <c r="C185" s="2103"/>
      <c r="D185" s="2101"/>
      <c r="E185" s="2101"/>
      <c r="F185" s="2101"/>
      <c r="G185" s="2101"/>
      <c r="H185" s="2102"/>
    </row>
    <row r="186" spans="1:9" ht="30" customHeight="1" thickBot="1" x14ac:dyDescent="0.25">
      <c r="A186" s="2103"/>
      <c r="B186" s="2104"/>
      <c r="C186" s="2097" t="s">
        <v>58</v>
      </c>
      <c r="D186" s="2098"/>
      <c r="E186" s="2099"/>
      <c r="F186" s="915" t="s">
        <v>52</v>
      </c>
      <c r="G186" s="984">
        <f>IF((AllWet=1),0,10*(AVERAGE(PermWpct14, AVERAGE(StrucA,StrucB,Produc,Lscape14,Wscape14,Stress14))))</f>
        <v>0</v>
      </c>
      <c r="H186" s="1807" t="s">
        <v>2061</v>
      </c>
      <c r="I186" s="1808"/>
    </row>
    <row r="187" spans="1:9" ht="30" customHeight="1" thickBot="1" x14ac:dyDescent="0.25">
      <c r="A187" s="2103"/>
      <c r="B187" s="2104"/>
      <c r="C187" s="2097" t="s">
        <v>1916</v>
      </c>
      <c r="D187" s="2098"/>
      <c r="E187" s="2099"/>
      <c r="F187" s="915" t="s">
        <v>2223</v>
      </c>
      <c r="G187" s="985">
        <f>10*(IF((Rare14=1),1, IF((_IBA14=1),1, MAX(HerbUniq14,WoodyUniq14,DistPond14))))</f>
        <v>0</v>
      </c>
      <c r="H187" s="1807" t="s">
        <v>2450</v>
      </c>
      <c r="I187" s="1808"/>
    </row>
    <row r="188" spans="1:9" ht="21" customHeight="1" thickBot="1" x14ac:dyDescent="0.25">
      <c r="D188" s="17"/>
      <c r="E188" s="17"/>
      <c r="F188" s="17"/>
      <c r="G188" s="17"/>
      <c r="H188" s="696"/>
    </row>
    <row r="189" spans="1:9" ht="21" customHeight="1" thickBot="1" x14ac:dyDescent="0.25">
      <c r="D189" s="17"/>
      <c r="E189" s="17"/>
      <c r="F189" s="17"/>
      <c r="G189" s="17"/>
      <c r="H189" s="1913" t="s">
        <v>669</v>
      </c>
      <c r="I189" s="1914"/>
    </row>
    <row r="190" spans="1:9" ht="27" customHeight="1" x14ac:dyDescent="0.2">
      <c r="D190" s="17"/>
      <c r="E190" s="17"/>
      <c r="F190" s="17"/>
      <c r="G190" s="17"/>
      <c r="H190" s="1966" t="s">
        <v>865</v>
      </c>
      <c r="I190" s="1967"/>
    </row>
    <row r="191" spans="1:9" ht="27" customHeight="1" x14ac:dyDescent="0.2">
      <c r="D191" s="17"/>
      <c r="E191" s="17"/>
      <c r="F191" s="17"/>
      <c r="G191" s="17"/>
      <c r="H191" s="1792" t="s">
        <v>866</v>
      </c>
      <c r="I191" s="1793"/>
    </row>
    <row r="192" spans="1:9" ht="27" customHeight="1" x14ac:dyDescent="0.2">
      <c r="D192" s="17"/>
      <c r="E192" s="17"/>
      <c r="F192" s="17"/>
      <c r="G192" s="17"/>
      <c r="H192" s="1792" t="s">
        <v>867</v>
      </c>
      <c r="I192" s="1793"/>
    </row>
    <row r="193" spans="4:9" ht="27" customHeight="1" x14ac:dyDescent="0.2">
      <c r="D193" s="17"/>
      <c r="E193" s="17"/>
      <c r="F193" s="17"/>
      <c r="G193" s="17"/>
      <c r="H193" s="1792" t="s">
        <v>1050</v>
      </c>
      <c r="I193" s="1793"/>
    </row>
    <row r="194" spans="4:9" ht="27" customHeight="1" x14ac:dyDescent="0.2">
      <c r="D194" s="17"/>
      <c r="E194" s="17"/>
      <c r="F194" s="17"/>
      <c r="G194" s="17"/>
      <c r="H194" s="1792" t="s">
        <v>868</v>
      </c>
      <c r="I194" s="1793"/>
    </row>
    <row r="195" spans="4:9" ht="27" customHeight="1" x14ac:dyDescent="0.2">
      <c r="D195" s="17"/>
      <c r="E195" s="17"/>
      <c r="F195" s="17"/>
      <c r="G195" s="17"/>
      <c r="H195" s="1792" t="s">
        <v>869</v>
      </c>
      <c r="I195" s="1793"/>
    </row>
    <row r="196" spans="4:9" ht="27" customHeight="1" x14ac:dyDescent="0.2">
      <c r="D196" s="17"/>
      <c r="E196" s="17"/>
      <c r="F196" s="17"/>
      <c r="G196" s="17"/>
      <c r="H196" s="1792" t="s">
        <v>870</v>
      </c>
      <c r="I196" s="1793"/>
    </row>
    <row r="197" spans="4:9" ht="27" customHeight="1" x14ac:dyDescent="0.2">
      <c r="D197" s="17"/>
      <c r="E197" s="17"/>
      <c r="F197" s="17"/>
      <c r="G197" s="17"/>
      <c r="H197" s="1792" t="s">
        <v>1475</v>
      </c>
      <c r="I197" s="1793"/>
    </row>
    <row r="198" spans="4:9" ht="42" customHeight="1" x14ac:dyDescent="0.2">
      <c r="D198" s="17"/>
      <c r="E198" s="17"/>
      <c r="F198" s="17"/>
      <c r="G198" s="17"/>
      <c r="H198" s="1792" t="s">
        <v>1519</v>
      </c>
      <c r="I198" s="1793"/>
    </row>
    <row r="199" spans="4:9" ht="27" customHeight="1" x14ac:dyDescent="0.2">
      <c r="D199" s="17"/>
      <c r="E199" s="17"/>
      <c r="F199" s="17"/>
      <c r="G199" s="17"/>
      <c r="H199" s="1792" t="s">
        <v>1049</v>
      </c>
      <c r="I199" s="1793"/>
    </row>
    <row r="200" spans="4:9" ht="27" customHeight="1" x14ac:dyDescent="0.2">
      <c r="D200" s="17"/>
      <c r="E200" s="17"/>
      <c r="F200" s="17"/>
      <c r="G200" s="17"/>
      <c r="H200" s="1792" t="s">
        <v>1048</v>
      </c>
      <c r="I200" s="1793"/>
    </row>
    <row r="201" spans="4:9" ht="27" customHeight="1" x14ac:dyDescent="0.2">
      <c r="D201" s="17"/>
      <c r="E201" s="17"/>
      <c r="F201" s="17"/>
      <c r="G201" s="17"/>
      <c r="H201" s="1792" t="s">
        <v>871</v>
      </c>
      <c r="I201" s="1793"/>
    </row>
    <row r="202" spans="4:9" ht="27" customHeight="1" x14ac:dyDescent="0.2">
      <c r="D202" s="17"/>
      <c r="E202" s="17"/>
      <c r="F202" s="17"/>
      <c r="G202" s="17"/>
      <c r="H202" s="1792" t="s">
        <v>872</v>
      </c>
      <c r="I202" s="1793"/>
    </row>
    <row r="203" spans="4:9" ht="27" customHeight="1" x14ac:dyDescent="0.2">
      <c r="D203" s="17"/>
      <c r="E203" s="17"/>
      <c r="F203" s="17"/>
      <c r="G203" s="17"/>
      <c r="H203" s="1792" t="s">
        <v>873</v>
      </c>
      <c r="I203" s="1793"/>
    </row>
    <row r="204" spans="4:9" ht="27" customHeight="1" x14ac:dyDescent="0.2">
      <c r="D204" s="17"/>
      <c r="E204" s="17"/>
      <c r="F204" s="17"/>
      <c r="G204" s="17"/>
      <c r="H204" s="1792" t="s">
        <v>874</v>
      </c>
      <c r="I204" s="1793"/>
    </row>
    <row r="205" spans="4:9" ht="27" customHeight="1" x14ac:dyDescent="0.2">
      <c r="D205" s="17"/>
      <c r="E205" s="17"/>
      <c r="F205" s="17"/>
      <c r="G205" s="17"/>
      <c r="H205" s="1796" t="s">
        <v>1380</v>
      </c>
      <c r="I205" s="1797"/>
    </row>
    <row r="206" spans="4:9" ht="27" customHeight="1" x14ac:dyDescent="0.2">
      <c r="D206" s="17"/>
      <c r="E206" s="17"/>
      <c r="F206" s="17"/>
      <c r="G206" s="17"/>
      <c r="H206" s="1792" t="s">
        <v>875</v>
      </c>
      <c r="I206" s="1793"/>
    </row>
    <row r="207" spans="4:9" ht="27" customHeight="1" x14ac:dyDescent="0.2">
      <c r="D207" s="17"/>
      <c r="E207" s="17"/>
      <c r="F207" s="17"/>
      <c r="G207" s="17"/>
      <c r="H207" s="1792" t="s">
        <v>876</v>
      </c>
      <c r="I207" s="1793"/>
    </row>
    <row r="208" spans="4:9" ht="27" customHeight="1" x14ac:dyDescent="0.2">
      <c r="D208" s="17"/>
      <c r="E208" s="17"/>
      <c r="F208" s="17"/>
      <c r="G208" s="17"/>
      <c r="H208" s="1796" t="s">
        <v>1381</v>
      </c>
      <c r="I208" s="1797"/>
    </row>
    <row r="209" spans="4:9" ht="27" customHeight="1" x14ac:dyDescent="0.2">
      <c r="D209" s="17"/>
      <c r="E209" s="17"/>
      <c r="F209" s="17"/>
      <c r="G209" s="17"/>
      <c r="H209" s="1792" t="s">
        <v>877</v>
      </c>
      <c r="I209" s="1793"/>
    </row>
    <row r="210" spans="4:9" ht="42" customHeight="1" x14ac:dyDescent="0.2">
      <c r="D210" s="17"/>
      <c r="E210" s="17"/>
      <c r="F210" s="17"/>
      <c r="G210" s="17"/>
      <c r="H210" s="1792" t="s">
        <v>1476</v>
      </c>
      <c r="I210" s="1793"/>
    </row>
    <row r="211" spans="4:9" ht="27" customHeight="1" x14ac:dyDescent="0.2">
      <c r="D211" s="17"/>
      <c r="E211" s="17"/>
      <c r="F211" s="17"/>
      <c r="G211" s="17"/>
      <c r="H211" s="1792" t="s">
        <v>878</v>
      </c>
      <c r="I211" s="1793"/>
    </row>
    <row r="212" spans="4:9" ht="27" customHeight="1" x14ac:dyDescent="0.2">
      <c r="D212" s="17"/>
      <c r="E212" s="17"/>
      <c r="F212" s="17"/>
      <c r="G212" s="17"/>
      <c r="H212" s="1792" t="s">
        <v>1743</v>
      </c>
      <c r="I212" s="1793"/>
    </row>
    <row r="213" spans="4:9" ht="42" customHeight="1" x14ac:dyDescent="0.2">
      <c r="D213" s="17"/>
      <c r="E213" s="17"/>
      <c r="F213" s="17"/>
      <c r="G213" s="17"/>
      <c r="H213" s="1792" t="s">
        <v>1051</v>
      </c>
      <c r="I213" s="1793"/>
    </row>
    <row r="214" spans="4:9" ht="27" customHeight="1" x14ac:dyDescent="0.2">
      <c r="D214" s="17"/>
      <c r="E214" s="17"/>
      <c r="F214" s="17"/>
      <c r="G214" s="17"/>
      <c r="H214" s="1792" t="s">
        <v>879</v>
      </c>
      <c r="I214" s="1793"/>
    </row>
    <row r="215" spans="4:9" ht="42" customHeight="1" x14ac:dyDescent="0.2">
      <c r="D215" s="17"/>
      <c r="E215" s="17"/>
      <c r="F215" s="17"/>
      <c r="G215" s="17"/>
      <c r="H215" s="1792" t="s">
        <v>1526</v>
      </c>
      <c r="I215" s="1793"/>
    </row>
    <row r="216" spans="4:9" ht="27" customHeight="1" x14ac:dyDescent="0.2">
      <c r="D216" s="17"/>
      <c r="E216" s="17"/>
      <c r="F216" s="17"/>
      <c r="G216" s="17"/>
      <c r="H216" s="1792" t="s">
        <v>880</v>
      </c>
      <c r="I216" s="1793"/>
    </row>
    <row r="217" spans="4:9" ht="27" customHeight="1" x14ac:dyDescent="0.2">
      <c r="D217" s="17"/>
      <c r="E217" s="17"/>
      <c r="F217" s="17"/>
      <c r="G217" s="17"/>
      <c r="H217" s="1792" t="s">
        <v>881</v>
      </c>
      <c r="I217" s="1793"/>
    </row>
    <row r="218" spans="4:9" ht="27" customHeight="1" x14ac:dyDescent="0.2">
      <c r="D218" s="17"/>
      <c r="E218" s="17"/>
      <c r="F218" s="17"/>
      <c r="G218" s="17"/>
      <c r="H218" s="1792" t="s">
        <v>882</v>
      </c>
      <c r="I218" s="1793"/>
    </row>
    <row r="219" spans="4:9" ht="42" customHeight="1" x14ac:dyDescent="0.2">
      <c r="D219" s="17"/>
      <c r="E219" s="17"/>
      <c r="F219" s="17"/>
      <c r="G219" s="17"/>
      <c r="H219" s="1796" t="s">
        <v>1524</v>
      </c>
      <c r="I219" s="1797"/>
    </row>
    <row r="220" spans="4:9" ht="27" customHeight="1" x14ac:dyDescent="0.2">
      <c r="D220" s="17"/>
      <c r="E220" s="17"/>
      <c r="F220" s="17"/>
      <c r="G220" s="17"/>
      <c r="H220" s="1792" t="s">
        <v>883</v>
      </c>
      <c r="I220" s="1793"/>
    </row>
    <row r="221" spans="4:9" ht="27" customHeight="1" x14ac:dyDescent="0.2">
      <c r="D221" s="17"/>
      <c r="E221" s="17"/>
      <c r="F221" s="17"/>
      <c r="G221" s="17"/>
      <c r="H221" s="1792" t="s">
        <v>731</v>
      </c>
      <c r="I221" s="1793"/>
    </row>
    <row r="222" spans="4:9" ht="42" customHeight="1" x14ac:dyDescent="0.2">
      <c r="D222" s="17"/>
      <c r="E222" s="17"/>
      <c r="F222" s="17"/>
      <c r="G222" s="17"/>
      <c r="H222" s="1792" t="s">
        <v>884</v>
      </c>
      <c r="I222" s="1793"/>
    </row>
    <row r="223" spans="4:9" ht="27" customHeight="1" x14ac:dyDescent="0.2">
      <c r="D223" s="17"/>
      <c r="E223" s="17"/>
      <c r="F223" s="17"/>
      <c r="G223" s="17"/>
      <c r="H223" s="1792" t="s">
        <v>885</v>
      </c>
      <c r="I223" s="1793"/>
    </row>
    <row r="224" spans="4:9" ht="27" customHeight="1" x14ac:dyDescent="0.2">
      <c r="D224" s="17"/>
      <c r="E224" s="17"/>
      <c r="F224" s="17"/>
      <c r="G224" s="17"/>
      <c r="H224" s="1792" t="s">
        <v>886</v>
      </c>
      <c r="I224" s="1793"/>
    </row>
    <row r="225" spans="4:9" ht="27" customHeight="1" x14ac:dyDescent="0.2">
      <c r="D225" s="17"/>
      <c r="E225" s="17"/>
      <c r="F225" s="17"/>
      <c r="G225" s="17"/>
      <c r="H225" s="1792" t="s">
        <v>887</v>
      </c>
      <c r="I225" s="1793"/>
    </row>
    <row r="226" spans="4:9" ht="27" customHeight="1" x14ac:dyDescent="0.2">
      <c r="D226" s="17"/>
      <c r="E226" s="17"/>
      <c r="F226" s="17"/>
      <c r="G226" s="17"/>
      <c r="H226" s="1792" t="s">
        <v>888</v>
      </c>
      <c r="I226" s="1793"/>
    </row>
    <row r="227" spans="4:9" ht="27" customHeight="1" x14ac:dyDescent="0.2">
      <c r="D227" s="17"/>
      <c r="E227" s="17"/>
      <c r="F227" s="17"/>
      <c r="G227" s="17"/>
      <c r="H227" s="1792" t="s">
        <v>889</v>
      </c>
      <c r="I227" s="1793"/>
    </row>
    <row r="228" spans="4:9" ht="27" customHeight="1" x14ac:dyDescent="0.2">
      <c r="D228" s="17"/>
      <c r="E228" s="17"/>
      <c r="F228" s="17"/>
      <c r="G228" s="17"/>
      <c r="H228" s="1792" t="s">
        <v>890</v>
      </c>
      <c r="I228" s="1793"/>
    </row>
    <row r="229" spans="4:9" ht="42" customHeight="1" x14ac:dyDescent="0.2">
      <c r="D229" s="17"/>
      <c r="E229" s="17"/>
      <c r="F229" s="17"/>
      <c r="G229" s="17"/>
      <c r="H229" s="1792" t="s">
        <v>891</v>
      </c>
      <c r="I229" s="1793"/>
    </row>
    <row r="230" spans="4:9" ht="42" customHeight="1" x14ac:dyDescent="0.2">
      <c r="D230" s="17"/>
      <c r="E230" s="17"/>
      <c r="F230" s="17"/>
      <c r="G230" s="17"/>
      <c r="H230" s="1792" t="s">
        <v>892</v>
      </c>
      <c r="I230" s="1793"/>
    </row>
    <row r="231" spans="4:9" ht="27" customHeight="1" x14ac:dyDescent="0.2">
      <c r="D231" s="17"/>
      <c r="E231" s="17"/>
      <c r="F231" s="17"/>
      <c r="G231" s="17"/>
      <c r="H231" s="1792" t="s">
        <v>893</v>
      </c>
      <c r="I231" s="1793"/>
    </row>
    <row r="232" spans="4:9" ht="42" customHeight="1" x14ac:dyDescent="0.2">
      <c r="D232" s="17"/>
      <c r="E232" s="17"/>
      <c r="F232" s="17"/>
      <c r="G232" s="17"/>
      <c r="H232" s="1792" t="s">
        <v>1216</v>
      </c>
      <c r="I232" s="1793"/>
    </row>
    <row r="233" spans="4:9" ht="27" customHeight="1" x14ac:dyDescent="0.2">
      <c r="D233" s="17"/>
      <c r="E233" s="17"/>
      <c r="F233" s="17"/>
      <c r="G233" s="17"/>
      <c r="H233" s="1792" t="s">
        <v>894</v>
      </c>
      <c r="I233" s="1793"/>
    </row>
    <row r="234" spans="4:9" ht="27" customHeight="1" x14ac:dyDescent="0.2">
      <c r="D234" s="17"/>
      <c r="E234" s="17"/>
      <c r="F234" s="17"/>
      <c r="G234" s="17"/>
      <c r="H234" s="1792" t="s">
        <v>895</v>
      </c>
      <c r="I234" s="1793"/>
    </row>
    <row r="235" spans="4:9" ht="27" customHeight="1" x14ac:dyDescent="0.2">
      <c r="D235" s="17"/>
      <c r="E235" s="17"/>
      <c r="F235" s="17"/>
      <c r="G235" s="17"/>
      <c r="H235" s="1792" t="s">
        <v>896</v>
      </c>
      <c r="I235" s="1793"/>
    </row>
    <row r="236" spans="4:9" ht="27" customHeight="1" x14ac:dyDescent="0.2">
      <c r="D236" s="17"/>
      <c r="E236" s="17"/>
      <c r="F236" s="17"/>
      <c r="G236" s="17"/>
      <c r="H236" s="1792" t="s">
        <v>897</v>
      </c>
      <c r="I236" s="1793"/>
    </row>
    <row r="237" spans="4:9" ht="42" customHeight="1" x14ac:dyDescent="0.2">
      <c r="D237" s="17"/>
      <c r="E237" s="17"/>
      <c r="F237" s="17"/>
      <c r="G237" s="17"/>
      <c r="H237" s="1792" t="s">
        <v>1525</v>
      </c>
      <c r="I237" s="1793"/>
    </row>
    <row r="238" spans="4:9" ht="27" customHeight="1" x14ac:dyDescent="0.2">
      <c r="D238" s="17"/>
      <c r="E238" s="17"/>
      <c r="F238" s="17"/>
      <c r="G238" s="17"/>
      <c r="H238" s="1792" t="s">
        <v>898</v>
      </c>
      <c r="I238" s="1793"/>
    </row>
    <row r="239" spans="4:9" ht="42" customHeight="1" x14ac:dyDescent="0.2">
      <c r="D239" s="17"/>
      <c r="E239" s="17"/>
      <c r="F239" s="17"/>
      <c r="G239" s="17"/>
      <c r="H239" s="1792" t="s">
        <v>899</v>
      </c>
      <c r="I239" s="1793"/>
    </row>
    <row r="240" spans="4:9" ht="27" customHeight="1" x14ac:dyDescent="0.2">
      <c r="D240" s="17"/>
      <c r="E240" s="17"/>
      <c r="F240" s="17"/>
      <c r="G240" s="17"/>
      <c r="H240" s="1792" t="s">
        <v>1407</v>
      </c>
      <c r="I240" s="1793"/>
    </row>
    <row r="241" spans="3:9" ht="27" customHeight="1" x14ac:dyDescent="0.2">
      <c r="D241" s="17"/>
      <c r="E241" s="17"/>
      <c r="F241" s="17"/>
      <c r="G241" s="17"/>
      <c r="H241" s="1792" t="s">
        <v>900</v>
      </c>
      <c r="I241" s="1793"/>
    </row>
    <row r="242" spans="3:9" ht="27" customHeight="1" x14ac:dyDescent="0.2">
      <c r="D242" s="17"/>
      <c r="E242" s="17"/>
      <c r="F242" s="17"/>
      <c r="G242" s="17"/>
      <c r="H242" s="1792" t="s">
        <v>1217</v>
      </c>
      <c r="I242" s="1793"/>
    </row>
    <row r="243" spans="3:9" ht="42" customHeight="1" x14ac:dyDescent="0.2">
      <c r="D243" s="17"/>
      <c r="E243" s="17"/>
      <c r="F243" s="17"/>
      <c r="G243" s="17"/>
      <c r="H243" s="1792" t="s">
        <v>901</v>
      </c>
      <c r="I243" s="1793"/>
    </row>
    <row r="244" spans="3:9" ht="42" customHeight="1" x14ac:dyDescent="0.2">
      <c r="D244" s="17"/>
      <c r="E244" s="17"/>
      <c r="F244" s="17"/>
      <c r="G244" s="17"/>
      <c r="H244" s="1792" t="s">
        <v>902</v>
      </c>
      <c r="I244" s="1793"/>
    </row>
    <row r="245" spans="3:9" ht="27" customHeight="1" x14ac:dyDescent="0.2">
      <c r="D245" s="17"/>
      <c r="E245" s="17"/>
      <c r="F245" s="17"/>
      <c r="G245" s="17"/>
      <c r="H245" s="1792" t="s">
        <v>903</v>
      </c>
      <c r="I245" s="1793"/>
    </row>
    <row r="246" spans="3:9" ht="27" customHeight="1" x14ac:dyDescent="0.2">
      <c r="D246" s="17"/>
      <c r="E246" s="17"/>
      <c r="F246" s="17"/>
      <c r="G246" s="17"/>
      <c r="H246" s="1792" t="s">
        <v>904</v>
      </c>
      <c r="I246" s="1793"/>
    </row>
    <row r="247" spans="3:9" ht="27" customHeight="1" x14ac:dyDescent="0.2">
      <c r="D247" s="17"/>
      <c r="E247" s="17"/>
      <c r="F247" s="17"/>
      <c r="G247" s="17"/>
      <c r="H247" s="1792" t="s">
        <v>905</v>
      </c>
      <c r="I247" s="1793"/>
    </row>
    <row r="248" spans="3:9" ht="27" customHeight="1" x14ac:dyDescent="0.2">
      <c r="D248" s="17"/>
      <c r="E248" s="17"/>
      <c r="F248" s="17"/>
      <c r="G248" s="17"/>
      <c r="H248" s="1796" t="s">
        <v>1382</v>
      </c>
      <c r="I248" s="1797"/>
    </row>
    <row r="249" spans="3:9" ht="27" customHeight="1" x14ac:dyDescent="0.2">
      <c r="D249" s="17"/>
      <c r="E249" s="17"/>
      <c r="F249" s="17"/>
      <c r="G249" s="17"/>
      <c r="H249" s="1792" t="s">
        <v>906</v>
      </c>
      <c r="I249" s="1793"/>
    </row>
    <row r="250" spans="3:9" ht="27" customHeight="1" x14ac:dyDescent="0.2">
      <c r="D250" s="17"/>
      <c r="E250" s="17"/>
      <c r="F250" s="17"/>
      <c r="G250" s="17"/>
      <c r="H250" s="1792" t="s">
        <v>1351</v>
      </c>
      <c r="I250" s="1793"/>
    </row>
    <row r="251" spans="3:9" ht="27" customHeight="1" thickBot="1" x14ac:dyDescent="0.25">
      <c r="D251" s="17"/>
      <c r="E251" s="17"/>
      <c r="F251" s="17"/>
      <c r="G251" s="17"/>
      <c r="H251" s="1794" t="s">
        <v>907</v>
      </c>
      <c r="I251" s="1795"/>
    </row>
    <row r="252" spans="3:9" x14ac:dyDescent="0.2">
      <c r="D252" s="17"/>
      <c r="E252" s="17"/>
      <c r="F252" s="17"/>
      <c r="G252" s="17"/>
      <c r="H252" s="10"/>
    </row>
    <row r="253" spans="3:9" x14ac:dyDescent="0.2">
      <c r="C253" s="18"/>
      <c r="H253" s="10"/>
    </row>
    <row r="254" spans="3:9" x14ac:dyDescent="0.2">
      <c r="C254" s="18"/>
      <c r="H254" s="10"/>
    </row>
    <row r="255" spans="3:9" x14ac:dyDescent="0.2">
      <c r="C255" s="18"/>
      <c r="H255" s="10"/>
    </row>
    <row r="256" spans="3:9" x14ac:dyDescent="0.2">
      <c r="C256" s="18"/>
      <c r="H256" s="10"/>
    </row>
    <row r="257" spans="3:8" x14ac:dyDescent="0.2">
      <c r="C257" s="18"/>
      <c r="H257" s="10"/>
    </row>
    <row r="258" spans="3:8" x14ac:dyDescent="0.2">
      <c r="C258" s="18"/>
      <c r="H258" s="10"/>
    </row>
    <row r="259" spans="3:8" x14ac:dyDescent="0.2">
      <c r="C259" s="18"/>
      <c r="H259" s="10"/>
    </row>
    <row r="260" spans="3:8" x14ac:dyDescent="0.2">
      <c r="C260" s="18"/>
      <c r="H260" s="10"/>
    </row>
    <row r="261" spans="3:8" x14ac:dyDescent="0.2">
      <c r="C261" s="18"/>
      <c r="H261" s="10"/>
    </row>
    <row r="262" spans="3:8" x14ac:dyDescent="0.2">
      <c r="C262" s="18"/>
      <c r="H262" s="10"/>
    </row>
    <row r="263" spans="3:8" x14ac:dyDescent="0.2">
      <c r="C263" s="18"/>
      <c r="H263" s="10"/>
    </row>
    <row r="264" spans="3:8" x14ac:dyDescent="0.2">
      <c r="C264" s="18"/>
      <c r="H264" s="10"/>
    </row>
    <row r="265" spans="3:8" x14ac:dyDescent="0.2">
      <c r="C265" s="18"/>
      <c r="H265" s="10"/>
    </row>
    <row r="266" spans="3:8" x14ac:dyDescent="0.2">
      <c r="C266" s="18"/>
      <c r="H266" s="10"/>
    </row>
    <row r="267" spans="3:8" x14ac:dyDescent="0.2">
      <c r="C267" s="18"/>
      <c r="H267" s="10"/>
    </row>
    <row r="268" spans="3:8" x14ac:dyDescent="0.2">
      <c r="C268" s="18"/>
      <c r="H268" s="10"/>
    </row>
    <row r="269" spans="3:8" x14ac:dyDescent="0.2">
      <c r="C269" s="18"/>
      <c r="H269" s="10"/>
    </row>
    <row r="270" spans="3:8" x14ac:dyDescent="0.2">
      <c r="C270" s="18"/>
      <c r="H270" s="10"/>
    </row>
    <row r="271" spans="3:8" x14ac:dyDescent="0.2">
      <c r="C271" s="18"/>
      <c r="H271" s="10"/>
    </row>
    <row r="272" spans="3:8" x14ac:dyDescent="0.2">
      <c r="C272" s="18"/>
      <c r="H272" s="10"/>
    </row>
    <row r="273" spans="3:8" x14ac:dyDescent="0.2">
      <c r="C273" s="18"/>
      <c r="H273" s="10"/>
    </row>
    <row r="274" spans="3:8" x14ac:dyDescent="0.2">
      <c r="C274" s="18"/>
      <c r="H274" s="10"/>
    </row>
    <row r="275" spans="3:8" x14ac:dyDescent="0.2">
      <c r="C275" s="18"/>
      <c r="H275" s="10"/>
    </row>
    <row r="276" spans="3:8" x14ac:dyDescent="0.2">
      <c r="C276" s="18"/>
      <c r="H276" s="10"/>
    </row>
    <row r="277" spans="3:8" x14ac:dyDescent="0.2">
      <c r="C277" s="18"/>
      <c r="H277" s="10"/>
    </row>
    <row r="278" spans="3:8" x14ac:dyDescent="0.2">
      <c r="C278" s="18"/>
      <c r="H278" s="10"/>
    </row>
    <row r="279" spans="3:8" x14ac:dyDescent="0.2">
      <c r="C279" s="18"/>
      <c r="H279" s="10"/>
    </row>
    <row r="280" spans="3:8" x14ac:dyDescent="0.2">
      <c r="C280" s="18"/>
      <c r="H280" s="10"/>
    </row>
    <row r="281" spans="3:8" x14ac:dyDescent="0.2">
      <c r="C281" s="18"/>
      <c r="H281" s="10"/>
    </row>
    <row r="282" spans="3:8" x14ac:dyDescent="0.2">
      <c r="C282" s="18"/>
      <c r="H282" s="10"/>
    </row>
    <row r="283" spans="3:8" x14ac:dyDescent="0.2">
      <c r="C283" s="18"/>
      <c r="H283" s="10"/>
    </row>
    <row r="284" spans="3:8" x14ac:dyDescent="0.2">
      <c r="C284" s="18"/>
      <c r="H284" s="10"/>
    </row>
    <row r="285" spans="3:8" x14ac:dyDescent="0.2">
      <c r="C285" s="18"/>
      <c r="H285" s="10"/>
    </row>
    <row r="286" spans="3:8" x14ac:dyDescent="0.2">
      <c r="C286" s="18"/>
      <c r="H286" s="10"/>
    </row>
    <row r="287" spans="3:8" x14ac:dyDescent="0.2">
      <c r="C287" s="18"/>
      <c r="H287" s="10"/>
    </row>
    <row r="288" spans="3:8" x14ac:dyDescent="0.2">
      <c r="C288" s="18"/>
      <c r="H288" s="10"/>
    </row>
    <row r="289" spans="3:8" x14ac:dyDescent="0.2">
      <c r="C289" s="18"/>
      <c r="H289" s="10"/>
    </row>
    <row r="290" spans="3:8" x14ac:dyDescent="0.2">
      <c r="C290" s="18"/>
      <c r="H290" s="10"/>
    </row>
    <row r="291" spans="3:8" x14ac:dyDescent="0.2">
      <c r="C291" s="18"/>
      <c r="H291" s="10"/>
    </row>
    <row r="292" spans="3:8" x14ac:dyDescent="0.2">
      <c r="C292" s="18"/>
      <c r="H292" s="10"/>
    </row>
    <row r="293" spans="3:8" x14ac:dyDescent="0.2">
      <c r="C293" s="18"/>
      <c r="H293" s="10"/>
    </row>
    <row r="294" spans="3:8" x14ac:dyDescent="0.2">
      <c r="C294" s="18"/>
      <c r="H294" s="10"/>
    </row>
    <row r="295" spans="3:8" x14ac:dyDescent="0.2">
      <c r="C295" s="18"/>
      <c r="H295" s="10"/>
    </row>
    <row r="296" spans="3:8" x14ac:dyDescent="0.2">
      <c r="C296" s="18"/>
      <c r="H296" s="10"/>
    </row>
    <row r="297" spans="3:8" x14ac:dyDescent="0.2">
      <c r="C297" s="18"/>
      <c r="H297" s="10"/>
    </row>
    <row r="298" spans="3:8" x14ac:dyDescent="0.2">
      <c r="C298" s="18"/>
      <c r="H298" s="10"/>
    </row>
    <row r="299" spans="3:8" x14ac:dyDescent="0.2">
      <c r="C299" s="18"/>
      <c r="H299" s="10"/>
    </row>
    <row r="300" spans="3:8" x14ac:dyDescent="0.2">
      <c r="C300" s="18"/>
      <c r="H300" s="10"/>
    </row>
    <row r="301" spans="3:8" x14ac:dyDescent="0.2">
      <c r="C301" s="18"/>
      <c r="H301" s="10"/>
    </row>
    <row r="302" spans="3:8" x14ac:dyDescent="0.2">
      <c r="C302" s="18"/>
      <c r="H302" s="10"/>
    </row>
    <row r="303" spans="3:8" x14ac:dyDescent="0.2">
      <c r="C303" s="18"/>
      <c r="H303" s="10"/>
    </row>
    <row r="304" spans="3:8" x14ac:dyDescent="0.2">
      <c r="C304" s="18"/>
      <c r="H304" s="10"/>
    </row>
    <row r="305" spans="3:8" x14ac:dyDescent="0.2">
      <c r="C305" s="18"/>
      <c r="H305" s="10"/>
    </row>
    <row r="306" spans="3:8" x14ac:dyDescent="0.2">
      <c r="C306" s="18"/>
      <c r="H306" s="10"/>
    </row>
    <row r="307" spans="3:8" x14ac:dyDescent="0.2">
      <c r="C307" s="18"/>
      <c r="H307" s="10"/>
    </row>
    <row r="308" spans="3:8" x14ac:dyDescent="0.2">
      <c r="C308" s="18"/>
      <c r="H308" s="10"/>
    </row>
    <row r="309" spans="3:8" x14ac:dyDescent="0.2">
      <c r="C309" s="18"/>
      <c r="H309" s="10"/>
    </row>
    <row r="310" spans="3:8" x14ac:dyDescent="0.2">
      <c r="C310" s="18"/>
      <c r="H310" s="10"/>
    </row>
    <row r="311" spans="3:8" x14ac:dyDescent="0.2">
      <c r="C311" s="18"/>
      <c r="H311" s="10"/>
    </row>
    <row r="312" spans="3:8" x14ac:dyDescent="0.2">
      <c r="C312" s="18"/>
    </row>
    <row r="313" spans="3:8" x14ac:dyDescent="0.2">
      <c r="C313" s="18"/>
    </row>
    <row r="314" spans="3:8" x14ac:dyDescent="0.2">
      <c r="C314" s="18"/>
    </row>
    <row r="315" spans="3:8" x14ac:dyDescent="0.2">
      <c r="C315" s="18"/>
    </row>
    <row r="316" spans="3:8" x14ac:dyDescent="0.2">
      <c r="C316" s="18"/>
    </row>
    <row r="317" spans="3:8" x14ac:dyDescent="0.2">
      <c r="C317" s="18"/>
    </row>
    <row r="318" spans="3:8" x14ac:dyDescent="0.2">
      <c r="C318" s="18"/>
    </row>
    <row r="319" spans="3:8" x14ac:dyDescent="0.2">
      <c r="C319" s="18"/>
    </row>
    <row r="320" spans="3:8" x14ac:dyDescent="0.2">
      <c r="C320" s="18"/>
    </row>
    <row r="321" spans="3:3" x14ac:dyDescent="0.2">
      <c r="C321" s="18"/>
    </row>
    <row r="322" spans="3:3" x14ac:dyDescent="0.2">
      <c r="C322" s="18"/>
    </row>
    <row r="323" spans="3:3" x14ac:dyDescent="0.2">
      <c r="C323" s="18"/>
    </row>
    <row r="324" spans="3:3" x14ac:dyDescent="0.2">
      <c r="C324" s="18"/>
    </row>
    <row r="325" spans="3:3" x14ac:dyDescent="0.2">
      <c r="C325" s="18"/>
    </row>
    <row r="326" spans="3:3" x14ac:dyDescent="0.2">
      <c r="C326" s="18"/>
    </row>
    <row r="327" spans="3:3" x14ac:dyDescent="0.2">
      <c r="C327" s="18"/>
    </row>
    <row r="328" spans="3:3" x14ac:dyDescent="0.2">
      <c r="C328" s="18"/>
    </row>
    <row r="329" spans="3:3" x14ac:dyDescent="0.2">
      <c r="C329" s="18"/>
    </row>
    <row r="330" spans="3:3" x14ac:dyDescent="0.2">
      <c r="C330" s="18"/>
    </row>
    <row r="331" spans="3:3" x14ac:dyDescent="0.2">
      <c r="C331" s="18"/>
    </row>
    <row r="332" spans="3:3" x14ac:dyDescent="0.2">
      <c r="C332" s="18"/>
    </row>
    <row r="333" spans="3:3" x14ac:dyDescent="0.2">
      <c r="C333" s="18"/>
    </row>
    <row r="334" spans="3:3" x14ac:dyDescent="0.2">
      <c r="C334" s="18"/>
    </row>
    <row r="335" spans="3:3" x14ac:dyDescent="0.2">
      <c r="C335" s="18"/>
    </row>
    <row r="336" spans="3:3" x14ac:dyDescent="0.2">
      <c r="C336" s="18"/>
    </row>
    <row r="337" spans="3:3" x14ac:dyDescent="0.2">
      <c r="C337" s="18"/>
    </row>
    <row r="338" spans="3:3" x14ac:dyDescent="0.2">
      <c r="C338" s="18"/>
    </row>
    <row r="339" spans="3:3" x14ac:dyDescent="0.2">
      <c r="C339" s="18"/>
    </row>
    <row r="340" spans="3:3" x14ac:dyDescent="0.2">
      <c r="C340" s="18"/>
    </row>
    <row r="341" spans="3:3" x14ac:dyDescent="0.2">
      <c r="C341" s="18"/>
    </row>
    <row r="342" spans="3:3" x14ac:dyDescent="0.2">
      <c r="C342" s="18"/>
    </row>
    <row r="343" spans="3:3" x14ac:dyDescent="0.2">
      <c r="C343" s="18"/>
    </row>
    <row r="344" spans="3:3" x14ac:dyDescent="0.2">
      <c r="C344" s="18"/>
    </row>
    <row r="345" spans="3:3" x14ac:dyDescent="0.2">
      <c r="C345" s="18"/>
    </row>
    <row r="346" spans="3:3" x14ac:dyDescent="0.2">
      <c r="C346" s="18"/>
    </row>
    <row r="347" spans="3:3" x14ac:dyDescent="0.2">
      <c r="C347" s="18"/>
    </row>
    <row r="348" spans="3:3" x14ac:dyDescent="0.2">
      <c r="C348" s="18"/>
    </row>
    <row r="349" spans="3:3" x14ac:dyDescent="0.2">
      <c r="C349" s="18"/>
    </row>
    <row r="350" spans="3:3" x14ac:dyDescent="0.2">
      <c r="C350" s="18"/>
    </row>
    <row r="351" spans="3:3" x14ac:dyDescent="0.2">
      <c r="C351" s="18"/>
    </row>
    <row r="352" spans="3:3" x14ac:dyDescent="0.2">
      <c r="C352" s="18"/>
    </row>
    <row r="353" spans="3:3" x14ac:dyDescent="0.2">
      <c r="C353" s="18"/>
    </row>
    <row r="354" spans="3:3" x14ac:dyDescent="0.2">
      <c r="C354" s="18"/>
    </row>
    <row r="355" spans="3:3" x14ac:dyDescent="0.2">
      <c r="C355" s="18"/>
    </row>
    <row r="356" spans="3:3" x14ac:dyDescent="0.2">
      <c r="C356" s="18"/>
    </row>
    <row r="357" spans="3:3" x14ac:dyDescent="0.2">
      <c r="C357" s="18"/>
    </row>
    <row r="358" spans="3:3" x14ac:dyDescent="0.2">
      <c r="C358" s="18"/>
    </row>
    <row r="359" spans="3:3" x14ac:dyDescent="0.2">
      <c r="C359" s="18"/>
    </row>
    <row r="360" spans="3:3" x14ac:dyDescent="0.2">
      <c r="C360" s="18"/>
    </row>
    <row r="361" spans="3:3" x14ac:dyDescent="0.2">
      <c r="C361" s="18"/>
    </row>
    <row r="362" spans="3:3" x14ac:dyDescent="0.2">
      <c r="C362" s="18"/>
    </row>
    <row r="363" spans="3:3" x14ac:dyDescent="0.2">
      <c r="C363" s="18"/>
    </row>
    <row r="364" spans="3:3" x14ac:dyDescent="0.2">
      <c r="C364" s="18"/>
    </row>
    <row r="365" spans="3:3" x14ac:dyDescent="0.2">
      <c r="C365" s="18"/>
    </row>
    <row r="366" spans="3:3" x14ac:dyDescent="0.2">
      <c r="C366" s="18"/>
    </row>
    <row r="367" spans="3:3" x14ac:dyDescent="0.2">
      <c r="C367" s="18"/>
    </row>
    <row r="368" spans="3:3" x14ac:dyDescent="0.2">
      <c r="C368" s="18"/>
    </row>
    <row r="369" spans="3:3" x14ac:dyDescent="0.2">
      <c r="C369" s="18"/>
    </row>
    <row r="370" spans="3:3" x14ac:dyDescent="0.2">
      <c r="C370" s="18"/>
    </row>
    <row r="371" spans="3:3" x14ac:dyDescent="0.2">
      <c r="C371" s="18"/>
    </row>
    <row r="372" spans="3:3" x14ac:dyDescent="0.2">
      <c r="C372" s="18"/>
    </row>
    <row r="373" spans="3:3" x14ac:dyDescent="0.2">
      <c r="C373" s="18"/>
    </row>
    <row r="374" spans="3:3" x14ac:dyDescent="0.2">
      <c r="C374" s="18"/>
    </row>
    <row r="375" spans="3:3" x14ac:dyDescent="0.2">
      <c r="C375" s="18"/>
    </row>
    <row r="376" spans="3:3" x14ac:dyDescent="0.2">
      <c r="C376" s="18"/>
    </row>
    <row r="377" spans="3:3" x14ac:dyDescent="0.2">
      <c r="C377" s="18"/>
    </row>
    <row r="378" spans="3:3" x14ac:dyDescent="0.2">
      <c r="C378" s="18"/>
    </row>
    <row r="379" spans="3:3" x14ac:dyDescent="0.2">
      <c r="C379" s="18"/>
    </row>
    <row r="380" spans="3:3" x14ac:dyDescent="0.2">
      <c r="C380" s="18"/>
    </row>
    <row r="381" spans="3:3" x14ac:dyDescent="0.2">
      <c r="C381" s="18"/>
    </row>
    <row r="382" spans="3:3" x14ac:dyDescent="0.2">
      <c r="C382" s="18"/>
    </row>
    <row r="383" spans="3:3" x14ac:dyDescent="0.2">
      <c r="C383" s="18"/>
    </row>
    <row r="384" spans="3:3" x14ac:dyDescent="0.2">
      <c r="C384" s="18"/>
    </row>
    <row r="385" spans="3:3" x14ac:dyDescent="0.2">
      <c r="C385" s="18"/>
    </row>
    <row r="386" spans="3:3" x14ac:dyDescent="0.2">
      <c r="C386" s="18"/>
    </row>
    <row r="387" spans="3:3" x14ac:dyDescent="0.2">
      <c r="C387" s="18"/>
    </row>
    <row r="388" spans="3:3" x14ac:dyDescent="0.2">
      <c r="C388" s="18"/>
    </row>
    <row r="389" spans="3:3" x14ac:dyDescent="0.2">
      <c r="C389" s="18"/>
    </row>
    <row r="390" spans="3:3" x14ac:dyDescent="0.2">
      <c r="C390" s="18"/>
    </row>
    <row r="391" spans="3:3" x14ac:dyDescent="0.2">
      <c r="C391" s="18"/>
    </row>
    <row r="392" spans="3:3" x14ac:dyDescent="0.2">
      <c r="C392" s="18"/>
    </row>
    <row r="393" spans="3:3" x14ac:dyDescent="0.2">
      <c r="C393" s="18"/>
    </row>
    <row r="394" spans="3:3" x14ac:dyDescent="0.2">
      <c r="C394" s="18"/>
    </row>
    <row r="395" spans="3:3" x14ac:dyDescent="0.2">
      <c r="C395" s="18"/>
    </row>
    <row r="396" spans="3:3" x14ac:dyDescent="0.2">
      <c r="C396" s="18"/>
    </row>
    <row r="397" spans="3:3" x14ac:dyDescent="0.2">
      <c r="C397" s="18"/>
    </row>
    <row r="398" spans="3:3" x14ac:dyDescent="0.2">
      <c r="C398" s="18"/>
    </row>
  </sheetData>
  <sheetProtection algorithmName="SHA-512" hashValue="8c/feWpi12K5vK7N9MXq4PhEGw/3gOufxPLIs6QppwDqdY7mFxoaH0xnsuN8XbxRk16oBM699blbIgDOb4trDQ==" saltValue="ZeIozE9Wi6dkZmLaTGXHJg==" spinCount="100000" sheet="1" formatCells="0" formatColumns="0" formatRows="0"/>
  <customSheetViews>
    <customSheetView guid="{B8E02330-2419-4DE6-AD01-7ACC7A5D18DD}" scale="80" topLeftCell="D35">
      <selection activeCell="J44" sqref="J44"/>
      <pageMargins left="0.75" right="0.75" top="1" bottom="1" header="0.5" footer="0.5"/>
      <pageSetup orientation="portrait" horizontalDpi="4294967294" r:id="rId1"/>
      <headerFooter alignWithMargins="0"/>
    </customSheetView>
  </customSheetViews>
  <mergeCells count="195">
    <mergeCell ref="H251:I251"/>
    <mergeCell ref="H242:I242"/>
    <mergeCell ref="H243:I243"/>
    <mergeCell ref="H244:I244"/>
    <mergeCell ref="H245:I245"/>
    <mergeCell ref="H246:I246"/>
    <mergeCell ref="H247:I247"/>
    <mergeCell ref="H248:I248"/>
    <mergeCell ref="H249:I249"/>
    <mergeCell ref="H250:I250"/>
    <mergeCell ref="H233:I233"/>
    <mergeCell ref="H234:I234"/>
    <mergeCell ref="H235:I235"/>
    <mergeCell ref="H236:I236"/>
    <mergeCell ref="H237:I237"/>
    <mergeCell ref="H238:I238"/>
    <mergeCell ref="H239:I239"/>
    <mergeCell ref="H240:I240"/>
    <mergeCell ref="H241:I241"/>
    <mergeCell ref="H224:I224"/>
    <mergeCell ref="H225:I225"/>
    <mergeCell ref="H226:I226"/>
    <mergeCell ref="H227:I227"/>
    <mergeCell ref="H228:I228"/>
    <mergeCell ref="H229:I229"/>
    <mergeCell ref="H230:I230"/>
    <mergeCell ref="H231:I231"/>
    <mergeCell ref="H232:I232"/>
    <mergeCell ref="H215:I215"/>
    <mergeCell ref="H216:I216"/>
    <mergeCell ref="H217:I217"/>
    <mergeCell ref="H218:I218"/>
    <mergeCell ref="H219:I219"/>
    <mergeCell ref="H220:I220"/>
    <mergeCell ref="H221:I221"/>
    <mergeCell ref="H222:I222"/>
    <mergeCell ref="H223:I223"/>
    <mergeCell ref="H206:I206"/>
    <mergeCell ref="H207:I207"/>
    <mergeCell ref="H208:I208"/>
    <mergeCell ref="H209:I209"/>
    <mergeCell ref="H210:I210"/>
    <mergeCell ref="H211:I211"/>
    <mergeCell ref="H212:I212"/>
    <mergeCell ref="H213:I213"/>
    <mergeCell ref="H214:I214"/>
    <mergeCell ref="H203:I203"/>
    <mergeCell ref="H204:I204"/>
    <mergeCell ref="H205:I205"/>
    <mergeCell ref="H189:I189"/>
    <mergeCell ref="H190:I190"/>
    <mergeCell ref="H191:I191"/>
    <mergeCell ref="H192:I192"/>
    <mergeCell ref="H193:I193"/>
    <mergeCell ref="H194:I194"/>
    <mergeCell ref="H195:I195"/>
    <mergeCell ref="H196:I196"/>
    <mergeCell ref="H197:I197"/>
    <mergeCell ref="I135:I138"/>
    <mergeCell ref="I139:I142"/>
    <mergeCell ref="I143:I148"/>
    <mergeCell ref="H198:I198"/>
    <mergeCell ref="H199:I199"/>
    <mergeCell ref="H149:H151"/>
    <mergeCell ref="H200:I200"/>
    <mergeCell ref="H201:I201"/>
    <mergeCell ref="H202:I202"/>
    <mergeCell ref="H160:H164"/>
    <mergeCell ref="H143:H148"/>
    <mergeCell ref="H139:H142"/>
    <mergeCell ref="H168:H175"/>
    <mergeCell ref="I96:I101"/>
    <mergeCell ref="I102:I106"/>
    <mergeCell ref="I107:I110"/>
    <mergeCell ref="I111:I114"/>
    <mergeCell ref="I115:I121"/>
    <mergeCell ref="I122:I127"/>
    <mergeCell ref="I128:I134"/>
    <mergeCell ref="I73:I81"/>
    <mergeCell ref="I82:I88"/>
    <mergeCell ref="I89:I92"/>
    <mergeCell ref="H64:H68"/>
    <mergeCell ref="B64:B68"/>
    <mergeCell ref="A64:A68"/>
    <mergeCell ref="H10:H17"/>
    <mergeCell ref="H73:H81"/>
    <mergeCell ref="B73:B81"/>
    <mergeCell ref="B82:B88"/>
    <mergeCell ref="A70:A72"/>
    <mergeCell ref="I93:I95"/>
    <mergeCell ref="I70:I72"/>
    <mergeCell ref="I18:I25"/>
    <mergeCell ref="I26:I31"/>
    <mergeCell ref="I32:I34"/>
    <mergeCell ref="I35:I40"/>
    <mergeCell ref="I41:I47"/>
    <mergeCell ref="I49:I56"/>
    <mergeCell ref="H41:H47"/>
    <mergeCell ref="H49:H56"/>
    <mergeCell ref="A26:A31"/>
    <mergeCell ref="A49:A56"/>
    <mergeCell ref="A1:B1"/>
    <mergeCell ref="B35:B40"/>
    <mergeCell ref="A32:A34"/>
    <mergeCell ref="A3:A9"/>
    <mergeCell ref="I64:I68"/>
    <mergeCell ref="E1:I1"/>
    <mergeCell ref="I3:I9"/>
    <mergeCell ref="B3:B9"/>
    <mergeCell ref="H3:H9"/>
    <mergeCell ref="B32:B34"/>
    <mergeCell ref="B41:B47"/>
    <mergeCell ref="I57:I62"/>
    <mergeCell ref="H57:H62"/>
    <mergeCell ref="B26:B31"/>
    <mergeCell ref="B49:B56"/>
    <mergeCell ref="H18:H25"/>
    <mergeCell ref="H26:H31"/>
    <mergeCell ref="A35:A40"/>
    <mergeCell ref="A41:A47"/>
    <mergeCell ref="A10:A17"/>
    <mergeCell ref="B57:B62"/>
    <mergeCell ref="H32:H34"/>
    <mergeCell ref="H35:H40"/>
    <mergeCell ref="I10:I17"/>
    <mergeCell ref="B135:B138"/>
    <mergeCell ref="B70:B72"/>
    <mergeCell ref="H70:H72"/>
    <mergeCell ref="H96:H101"/>
    <mergeCell ref="H135:H138"/>
    <mergeCell ref="H122:H127"/>
    <mergeCell ref="H115:H121"/>
    <mergeCell ref="B107:B110"/>
    <mergeCell ref="H107:H110"/>
    <mergeCell ref="B111:B114"/>
    <mergeCell ref="B128:B134"/>
    <mergeCell ref="B122:B127"/>
    <mergeCell ref="H128:H134"/>
    <mergeCell ref="B115:B121"/>
    <mergeCell ref="H111:H114"/>
    <mergeCell ref="H89:H92"/>
    <mergeCell ref="B96:B101"/>
    <mergeCell ref="H93:H95"/>
    <mergeCell ref="H82:H88"/>
    <mergeCell ref="H102:H106"/>
    <mergeCell ref="B93:B95"/>
    <mergeCell ref="B102:B106"/>
    <mergeCell ref="B160:B164"/>
    <mergeCell ref="B153:B159"/>
    <mergeCell ref="H153:H159"/>
    <mergeCell ref="A128:A134"/>
    <mergeCell ref="A122:A127"/>
    <mergeCell ref="A135:A138"/>
    <mergeCell ref="A139:A142"/>
    <mergeCell ref="A160:A164"/>
    <mergeCell ref="B10:B17"/>
    <mergeCell ref="B18:B25"/>
    <mergeCell ref="A18:A25"/>
    <mergeCell ref="B143:B148"/>
    <mergeCell ref="A111:A114"/>
    <mergeCell ref="A102:A106"/>
    <mergeCell ref="B89:B92"/>
    <mergeCell ref="A73:A81"/>
    <mergeCell ref="A82:A88"/>
    <mergeCell ref="A89:A92"/>
    <mergeCell ref="A96:A101"/>
    <mergeCell ref="A93:A95"/>
    <mergeCell ref="A107:A110"/>
    <mergeCell ref="A57:A62"/>
    <mergeCell ref="B139:B142"/>
    <mergeCell ref="A115:A121"/>
    <mergeCell ref="B168:B175"/>
    <mergeCell ref="I168:I175"/>
    <mergeCell ref="A168:A175"/>
    <mergeCell ref="C186:E186"/>
    <mergeCell ref="A143:A148"/>
    <mergeCell ref="D178:H178"/>
    <mergeCell ref="D185:H185"/>
    <mergeCell ref="A186:B187"/>
    <mergeCell ref="C187:E187"/>
    <mergeCell ref="D179:F179"/>
    <mergeCell ref="D180:F180"/>
    <mergeCell ref="D181:F181"/>
    <mergeCell ref="D182:F182"/>
    <mergeCell ref="D183:F183"/>
    <mergeCell ref="D184:F184"/>
    <mergeCell ref="A149:A151"/>
    <mergeCell ref="A153:A159"/>
    <mergeCell ref="A178:C185"/>
    <mergeCell ref="H186:I186"/>
    <mergeCell ref="H187:I187"/>
    <mergeCell ref="I149:I151"/>
    <mergeCell ref="I153:I159"/>
    <mergeCell ref="I160:I164"/>
    <mergeCell ref="B149:B151"/>
  </mergeCells>
  <phoneticPr fontId="3" type="noConversion"/>
  <pageMargins left="0.75" right="0.75" top="1" bottom="1" header="0.5" footer="0.5"/>
  <pageSetup orientation="portrait" horizontalDpi="4294967294" r:id="rId2"/>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34"/>
  <dimension ref="A1:I112"/>
  <sheetViews>
    <sheetView topLeftCell="A78" zoomScaleNormal="100" workbookViewId="0">
      <selection activeCell="J54" sqref="J54"/>
    </sheetView>
  </sheetViews>
  <sheetFormatPr defaultColWidth="9.33203125" defaultRowHeight="12.75" x14ac:dyDescent="0.2"/>
  <cols>
    <col min="1" max="1" width="5.83203125" style="21" customWidth="1"/>
    <col min="2" max="2" width="18.83203125" style="21" customWidth="1"/>
    <col min="3" max="3" width="75.83203125" style="21" customWidth="1"/>
    <col min="4" max="4" width="7.83203125" style="23" customWidth="1"/>
    <col min="5" max="5" width="7.83203125" style="48" customWidth="1"/>
    <col min="6" max="6" width="7.83203125" style="23" customWidth="1"/>
    <col min="7" max="7" width="9.1640625" style="577" customWidth="1"/>
    <col min="8" max="8" width="64.83203125" style="21" customWidth="1"/>
    <col min="9" max="9" width="12.1640625" style="21" customWidth="1"/>
    <col min="10" max="16384" width="9.33203125" style="21"/>
  </cols>
  <sheetData>
    <row r="1" spans="1:9" s="1412" customFormat="1" ht="48" customHeight="1" thickBot="1" x14ac:dyDescent="0.25">
      <c r="A1" s="1868" t="s">
        <v>2440</v>
      </c>
      <c r="B1" s="1869"/>
      <c r="C1" s="1452" t="s">
        <v>1161</v>
      </c>
      <c r="D1" s="1453" t="s">
        <v>1073</v>
      </c>
      <c r="E1" s="2149"/>
      <c r="F1" s="1930"/>
      <c r="G1" s="1930"/>
      <c r="H1" s="1930"/>
      <c r="I1" s="1930"/>
    </row>
    <row r="2" spans="1:9" s="86" customFormat="1" ht="36" customHeight="1" thickBot="1" x14ac:dyDescent="0.25">
      <c r="A2" s="1003" t="s">
        <v>88</v>
      </c>
      <c r="B2" s="1004" t="s">
        <v>1424</v>
      </c>
      <c r="C2" s="843" t="s">
        <v>1164</v>
      </c>
      <c r="D2" s="833" t="s">
        <v>45</v>
      </c>
      <c r="E2" s="904" t="s">
        <v>1188</v>
      </c>
      <c r="F2" s="905" t="s">
        <v>1189</v>
      </c>
      <c r="G2" s="1005" t="s">
        <v>2558</v>
      </c>
      <c r="H2" s="833" t="s">
        <v>1117</v>
      </c>
      <c r="I2" s="895" t="s">
        <v>2427</v>
      </c>
    </row>
    <row r="3" spans="1:9" s="10" customFormat="1" ht="30" customHeight="1" thickBot="1" x14ac:dyDescent="0.25">
      <c r="A3" s="2039" t="str">
        <f>OF!A31</f>
        <v>OF5</v>
      </c>
      <c r="B3" s="2035" t="str">
        <f>OF!B31</f>
        <v>Distance to Large Vegetated Tract</v>
      </c>
      <c r="C3" s="55" t="str">
        <f>OF!C31</f>
        <v>The minimum distance from the edge of the AA to the edge of the closest vegetated land (but excluding row crops, lawn, conifer plantation) larger than 375 hectares (about 2 km on a side), is:</v>
      </c>
      <c r="D3" s="998"/>
      <c r="E3" s="100"/>
      <c r="F3" s="100"/>
      <c r="G3" s="511">
        <f>MAX(F4:F10)/MAX(E4:E10)</f>
        <v>0</v>
      </c>
      <c r="H3" s="2035" t="s">
        <v>1603</v>
      </c>
      <c r="I3" s="1669" t="s">
        <v>1604</v>
      </c>
    </row>
    <row r="4" spans="1:9" s="10" customFormat="1" ht="42" customHeight="1" x14ac:dyDescent="0.2">
      <c r="A4" s="2040"/>
      <c r="B4" s="2036"/>
      <c r="C4" s="243" t="str">
        <f>OF!C32</f>
        <v>&lt;50 m, and not separated from the 375-ha vegetated area by any width of paved roads, stretches of open water, row crops, bare ground, lawn, or impervious surface. Or the AA itself contains &gt;375 ha of vegetation. [This is often the answer in relatively undeveloped landscapes.]</v>
      </c>
      <c r="D4" s="33">
        <f>OF!D32</f>
        <v>0</v>
      </c>
      <c r="E4" s="46">
        <v>6</v>
      </c>
      <c r="F4" s="44">
        <f t="shared" ref="F4:F10" si="0">D4*E4</f>
        <v>0</v>
      </c>
      <c r="G4" s="46"/>
      <c r="H4" s="2036"/>
      <c r="I4" s="1670"/>
    </row>
    <row r="5" spans="1:9" s="10" customFormat="1" ht="27" customHeight="1" x14ac:dyDescent="0.2">
      <c r="A5" s="2040"/>
      <c r="B5" s="2036"/>
      <c r="C5" s="244" t="str">
        <f>OF!C33</f>
        <v>&lt;50 m, but completely separated from the 375-ha vegetated area by those features, and AA does not contain &gt;375 ha of vegetation.</v>
      </c>
      <c r="D5" s="33">
        <f>OF!D33</f>
        <v>0</v>
      </c>
      <c r="E5" s="46">
        <v>5</v>
      </c>
      <c r="F5" s="44">
        <f t="shared" si="0"/>
        <v>0</v>
      </c>
      <c r="G5" s="46"/>
      <c r="H5" s="2036"/>
      <c r="I5" s="1670"/>
    </row>
    <row r="6" spans="1:9" s="10" customFormat="1" ht="15" customHeight="1" x14ac:dyDescent="0.2">
      <c r="A6" s="2040"/>
      <c r="B6" s="2036"/>
      <c r="C6" s="244" t="str">
        <f>OF!C34</f>
        <v>50-500 m, and not separated.</v>
      </c>
      <c r="D6" s="33">
        <f>OF!D34</f>
        <v>0</v>
      </c>
      <c r="E6" s="46">
        <v>4</v>
      </c>
      <c r="F6" s="44">
        <f t="shared" si="0"/>
        <v>0</v>
      </c>
      <c r="G6" s="46"/>
      <c r="H6" s="2036"/>
      <c r="I6" s="1670"/>
    </row>
    <row r="7" spans="1:9" s="10" customFormat="1" ht="15" customHeight="1" x14ac:dyDescent="0.2">
      <c r="A7" s="2040"/>
      <c r="B7" s="2036"/>
      <c r="C7" s="244" t="str">
        <f>OF!C35</f>
        <v>50-500 m, but separated by those features.</v>
      </c>
      <c r="D7" s="33">
        <f>OF!D35</f>
        <v>0</v>
      </c>
      <c r="E7" s="46">
        <v>3</v>
      </c>
      <c r="F7" s="44">
        <f t="shared" si="0"/>
        <v>0</v>
      </c>
      <c r="G7" s="46"/>
      <c r="H7" s="2036"/>
      <c r="I7" s="1670"/>
    </row>
    <row r="8" spans="1:9" s="10" customFormat="1" ht="15" customHeight="1" x14ac:dyDescent="0.2">
      <c r="A8" s="2040"/>
      <c r="B8" s="2036"/>
      <c r="C8" s="244" t="str">
        <f>OF!C36</f>
        <v>0.5 - 5 km, and not separated.</v>
      </c>
      <c r="D8" s="33">
        <f>OF!D36</f>
        <v>0</v>
      </c>
      <c r="E8" s="46">
        <v>2</v>
      </c>
      <c r="F8" s="44">
        <f t="shared" si="0"/>
        <v>0</v>
      </c>
      <c r="G8" s="46"/>
      <c r="H8" s="2036"/>
      <c r="I8" s="1670"/>
    </row>
    <row r="9" spans="1:9" s="10" customFormat="1" ht="15" customHeight="1" x14ac:dyDescent="0.2">
      <c r="A9" s="2040"/>
      <c r="B9" s="2036"/>
      <c r="C9" s="244" t="str">
        <f>OF!C37</f>
        <v>0.5 - 5 km, but separated by those features.</v>
      </c>
      <c r="D9" s="33">
        <f>OF!D37</f>
        <v>0</v>
      </c>
      <c r="E9" s="46">
        <v>1</v>
      </c>
      <c r="F9" s="44">
        <f t="shared" si="0"/>
        <v>0</v>
      </c>
      <c r="G9" s="46"/>
      <c r="H9" s="2036"/>
      <c r="I9" s="1670"/>
    </row>
    <row r="10" spans="1:9" s="10" customFormat="1" ht="15" customHeight="1" thickBot="1" x14ac:dyDescent="0.25">
      <c r="A10" s="2041"/>
      <c r="B10" s="2037"/>
      <c r="C10" s="242" t="str">
        <f>OF!C38</f>
        <v>None of the above (the closest patches or corridors which are that large are &gt;5 km away).</v>
      </c>
      <c r="D10" s="84">
        <f>OF!D38</f>
        <v>0</v>
      </c>
      <c r="E10" s="627">
        <v>0</v>
      </c>
      <c r="F10" s="103">
        <f t="shared" si="0"/>
        <v>0</v>
      </c>
      <c r="G10" s="627"/>
      <c r="H10" s="2037"/>
      <c r="I10" s="1671"/>
    </row>
    <row r="11" spans="1:9" s="7" customFormat="1" ht="45" customHeight="1" thickBot="1" x14ac:dyDescent="0.25">
      <c r="A11" s="2040" t="str">
        <f>OF!A41</f>
        <v>OF8</v>
      </c>
      <c r="B11" s="2036" t="str">
        <f>OF!B41</f>
        <v>Local Vegetated Cover Percentage</v>
      </c>
      <c r="C11" s="654" t="str">
        <f>OF!C41</f>
        <v>Draw a 5-km radius circle measured from the center of the AA.  Ignoring all permanent water in the circle, the percent of the remaining area that is wooded or unmanaged herbaceous vegetation (NOT lawn, row crops, bare or heavily grazed land, clearcuts, or conifer plantations) is:</v>
      </c>
      <c r="D11" s="771"/>
      <c r="E11" s="46"/>
      <c r="F11" s="45"/>
      <c r="G11" s="497">
        <f>MAX(F12:F16)/MAX(E12:E16)</f>
        <v>0</v>
      </c>
      <c r="H11" s="2031" t="s">
        <v>1754</v>
      </c>
      <c r="I11" s="1669" t="s">
        <v>2874</v>
      </c>
    </row>
    <row r="12" spans="1:9" s="7" customFormat="1" ht="15" customHeight="1" x14ac:dyDescent="0.2">
      <c r="A12" s="2040"/>
      <c r="B12" s="2036"/>
      <c r="C12" s="1000" t="str">
        <f>OF!C42</f>
        <v xml:space="preserve">&lt;5% of the land. </v>
      </c>
      <c r="D12" s="655">
        <f>OF!D42</f>
        <v>0</v>
      </c>
      <c r="E12" s="46">
        <v>0</v>
      </c>
      <c r="F12" s="44">
        <f>D12*E12</f>
        <v>0</v>
      </c>
      <c r="G12" s="46"/>
      <c r="H12" s="2031"/>
      <c r="I12" s="1670"/>
    </row>
    <row r="13" spans="1:9" s="7" customFormat="1" ht="15" customHeight="1" x14ac:dyDescent="0.2">
      <c r="A13" s="2040"/>
      <c r="B13" s="2036"/>
      <c r="C13" s="1001" t="str">
        <f>OF!C43</f>
        <v>5 to 20% of the land.</v>
      </c>
      <c r="D13" s="655">
        <f>OF!D43</f>
        <v>0</v>
      </c>
      <c r="E13" s="46">
        <v>1</v>
      </c>
      <c r="F13" s="44">
        <f>D13*E13</f>
        <v>0</v>
      </c>
      <c r="G13" s="46"/>
      <c r="H13" s="2031"/>
      <c r="I13" s="1670"/>
    </row>
    <row r="14" spans="1:9" s="7" customFormat="1" ht="15" customHeight="1" x14ac:dyDescent="0.2">
      <c r="A14" s="2040"/>
      <c r="B14" s="2036"/>
      <c r="C14" s="1001" t="str">
        <f>OF!C44</f>
        <v>20 to 60% of the land.</v>
      </c>
      <c r="D14" s="655">
        <f>OF!D44</f>
        <v>0</v>
      </c>
      <c r="E14" s="46">
        <v>2</v>
      </c>
      <c r="F14" s="44">
        <f>D14*E14</f>
        <v>0</v>
      </c>
      <c r="G14" s="46"/>
      <c r="H14" s="2031"/>
      <c r="I14" s="1670"/>
    </row>
    <row r="15" spans="1:9" s="7" customFormat="1" ht="15" customHeight="1" x14ac:dyDescent="0.2">
      <c r="A15" s="2040"/>
      <c r="B15" s="2036"/>
      <c r="C15" s="1001" t="str">
        <f>OF!C45</f>
        <v>60 to 90% of the land.</v>
      </c>
      <c r="D15" s="655">
        <f>OF!D45</f>
        <v>0</v>
      </c>
      <c r="E15" s="46">
        <v>3</v>
      </c>
      <c r="F15" s="44">
        <f>D15*E15</f>
        <v>0</v>
      </c>
      <c r="G15" s="46"/>
      <c r="H15" s="2031"/>
      <c r="I15" s="1670"/>
    </row>
    <row r="16" spans="1:9" s="7" customFormat="1" ht="15" customHeight="1" thickBot="1" x14ac:dyDescent="0.25">
      <c r="A16" s="2040"/>
      <c r="B16" s="2036"/>
      <c r="C16" s="1047" t="str">
        <f>OF!C46</f>
        <v>&gt;90% of the land. SKIP to OF10.</v>
      </c>
      <c r="D16" s="1048">
        <f>OF!D46</f>
        <v>0</v>
      </c>
      <c r="E16" s="766">
        <v>4</v>
      </c>
      <c r="F16" s="99">
        <f>D16*E16</f>
        <v>0</v>
      </c>
      <c r="G16" s="766"/>
      <c r="H16" s="2031"/>
      <c r="I16" s="1671"/>
    </row>
    <row r="17" spans="1:9" s="7" customFormat="1" ht="60" customHeight="1" thickBot="1" x14ac:dyDescent="0.25">
      <c r="A17" s="2035" t="str">
        <f>F!A17</f>
        <v>F3</v>
      </c>
      <c r="B17" s="2039" t="str">
        <f>F!B17</f>
        <v>Woody Height &amp; Form Diversity</v>
      </c>
      <c r="C17" s="36" t="str">
        <f>F!C17</f>
        <v>Following EACH row below, indicate with a number code the percentage of the living vegetation in the AA which is occupied by that feature (6 if &gt;95%, 5 if 75-95%, 4 if 50-75%, 3 if 25-50%, 2 if 5-25%, 1 if &lt;5%, 0 if none). If the vegetated part of the AA is largely herbaceous (non-woody) vegetation, these percentages should not sum to 100%.</v>
      </c>
      <c r="D17" s="512"/>
      <c r="E17" s="126"/>
      <c r="F17" s="127"/>
      <c r="G17" s="564">
        <f>IF((G18=F18),E18/5, IF((G18=F19),E19/5, IF((G18=F20),E20/5, IF((G18=F21),E21/5,IF((G18=F22),E22/5,E23/5)))))</f>
        <v>0</v>
      </c>
      <c r="H17" s="2154" t="s">
        <v>2226</v>
      </c>
      <c r="I17" s="1669" t="s">
        <v>2873</v>
      </c>
    </row>
    <row r="18" spans="1:9" s="7" customFormat="1" ht="15" customHeight="1" x14ac:dyDescent="0.2">
      <c r="A18" s="2036"/>
      <c r="B18" s="2040"/>
      <c r="C18" s="1454" t="str">
        <f>F!C18</f>
        <v>coniferous trees (may include tamarack) taller than 3 m.</v>
      </c>
      <c r="D18" s="145">
        <f>F!D18</f>
        <v>0</v>
      </c>
      <c r="E18" s="40">
        <v>0</v>
      </c>
      <c r="F18" s="44">
        <f t="shared" ref="F18:F23" si="1">D18*E18</f>
        <v>0</v>
      </c>
      <c r="G18" s="1049">
        <f>MAX(F18:F23)</f>
        <v>0</v>
      </c>
      <c r="H18" s="2155"/>
      <c r="I18" s="1670"/>
    </row>
    <row r="19" spans="1:9" s="7" customFormat="1" ht="15" customHeight="1" x14ac:dyDescent="0.2">
      <c r="A19" s="2036"/>
      <c r="B19" s="2040"/>
      <c r="C19" s="782" t="str">
        <f>F!C19</f>
        <v>deciduous trees taller than 3 m.</v>
      </c>
      <c r="D19" s="146">
        <f>F!D19</f>
        <v>0</v>
      </c>
      <c r="E19" s="40">
        <v>1</v>
      </c>
      <c r="F19" s="44">
        <f t="shared" si="1"/>
        <v>0</v>
      </c>
      <c r="G19" s="40"/>
      <c r="H19" s="2155"/>
      <c r="I19" s="1670"/>
    </row>
    <row r="20" spans="1:9" s="7" customFormat="1" ht="15" customHeight="1" x14ac:dyDescent="0.2">
      <c r="A20" s="2036"/>
      <c r="B20" s="2040"/>
      <c r="C20" s="782" t="str">
        <f>F!C20</f>
        <v>coniferous or ericaceous shrubs or trees 1-3 m tall not directly below the canopy of trees.</v>
      </c>
      <c r="D20" s="146">
        <f>F!D20</f>
        <v>0</v>
      </c>
      <c r="E20" s="40">
        <v>3</v>
      </c>
      <c r="F20" s="44">
        <f t="shared" si="1"/>
        <v>0</v>
      </c>
      <c r="G20" s="40"/>
      <c r="H20" s="2155"/>
      <c r="I20" s="1670"/>
    </row>
    <row r="21" spans="1:9" s="7" customFormat="1" ht="15" customHeight="1" x14ac:dyDescent="0.2">
      <c r="A21" s="2036"/>
      <c r="B21" s="2040"/>
      <c r="C21" s="782" t="str">
        <f>F!C21</f>
        <v>deciduous shrubs or trees 1-3 m tall not directly below the canopy of trees.</v>
      </c>
      <c r="D21" s="146">
        <f>F!D21</f>
        <v>0</v>
      </c>
      <c r="E21" s="40">
        <v>4</v>
      </c>
      <c r="F21" s="44">
        <f t="shared" si="1"/>
        <v>0</v>
      </c>
      <c r="G21" s="40"/>
      <c r="H21" s="2155"/>
      <c r="I21" s="1670"/>
    </row>
    <row r="22" spans="1:9" s="7" customFormat="1" ht="15" customHeight="1" x14ac:dyDescent="0.2">
      <c r="A22" s="2036"/>
      <c r="B22" s="2040"/>
      <c r="C22" s="782" t="str">
        <f>F!C22</f>
        <v>coniferous or ericaceous shrubs &lt;1 m tall not directly below the canopy of taller vegetation.</v>
      </c>
      <c r="D22" s="146">
        <f>F!D22</f>
        <v>0</v>
      </c>
      <c r="E22" s="40">
        <v>5</v>
      </c>
      <c r="F22" s="44">
        <f t="shared" si="1"/>
        <v>0</v>
      </c>
      <c r="G22" s="40"/>
      <c r="H22" s="2155"/>
      <c r="I22" s="1670"/>
    </row>
    <row r="23" spans="1:9" s="7" customFormat="1" ht="27" customHeight="1" thickBot="1" x14ac:dyDescent="0.25">
      <c r="A23" s="2037"/>
      <c r="B23" s="2041"/>
      <c r="C23" s="780" t="str">
        <f>F!C23</f>
        <v>deciduous shrubs or trees &lt;1 m tall (e.g., deciduous seedlings) not directly below the canopy of taller vegetation.</v>
      </c>
      <c r="D23" s="147">
        <f>F!D23</f>
        <v>0</v>
      </c>
      <c r="E23" s="98">
        <v>5</v>
      </c>
      <c r="F23" s="103">
        <f t="shared" si="1"/>
        <v>0</v>
      </c>
      <c r="G23" s="98"/>
      <c r="H23" s="2156"/>
      <c r="I23" s="1671"/>
    </row>
    <row r="24" spans="1:9" ht="30" customHeight="1" thickBot="1" x14ac:dyDescent="0.25">
      <c r="A24" s="2134" t="str">
        <f>F!A25</f>
        <v>F4</v>
      </c>
      <c r="B24" s="2069" t="str">
        <f>F!B25</f>
        <v xml:space="preserve">Dominance of Most Abundant Shrub Species </v>
      </c>
      <c r="C24" s="92" t="str">
        <f>F!C25</f>
        <v>Determine which two woody plant species comprise the greatest portion of the low (&lt;3 m) woody cover . Then choose one:</v>
      </c>
      <c r="D24" s="512"/>
      <c r="E24" s="126"/>
      <c r="F24" s="127"/>
      <c r="G24" s="564" t="str">
        <f>IF((MAX(F!D18:'F'!D21)&lt;2),"", IF((D26=1),1,""))</f>
        <v/>
      </c>
      <c r="H24" s="1856" t="s">
        <v>1597</v>
      </c>
      <c r="I24" s="1669" t="s">
        <v>1595</v>
      </c>
    </row>
    <row r="25" spans="1:9" ht="15" customHeight="1" x14ac:dyDescent="0.2">
      <c r="A25" s="2135"/>
      <c r="B25" s="2070"/>
      <c r="C25" s="83" t="str">
        <f>F!C26</f>
        <v>those species together comprise &gt; 50% of such cover.</v>
      </c>
      <c r="D25" s="22">
        <f>F!D26</f>
        <v>0</v>
      </c>
      <c r="E25" s="43">
        <v>1</v>
      </c>
      <c r="F25" s="44">
        <f>D25*E25</f>
        <v>0</v>
      </c>
      <c r="G25" s="575"/>
      <c r="H25" s="2143"/>
      <c r="I25" s="1670"/>
    </row>
    <row r="26" spans="1:9" ht="15" customHeight="1" thickBot="1" x14ac:dyDescent="0.25">
      <c r="A26" s="2136"/>
      <c r="B26" s="2071"/>
      <c r="C26" s="478" t="str">
        <f>F!C27</f>
        <v>those species together do not comprise &gt; 50% of such cover.</v>
      </c>
      <c r="D26" s="97">
        <f>F!D27</f>
        <v>0</v>
      </c>
      <c r="E26" s="102">
        <v>0</v>
      </c>
      <c r="F26" s="103">
        <f>D26*E26</f>
        <v>0</v>
      </c>
      <c r="G26" s="728"/>
      <c r="H26" s="2144"/>
      <c r="I26" s="1671"/>
    </row>
    <row r="27" spans="1:9" ht="45" customHeight="1" thickBot="1" x14ac:dyDescent="0.25">
      <c r="A27" s="2054" t="str">
        <f>F!A28</f>
        <v>F5</v>
      </c>
      <c r="B27" s="2061" t="str">
        <f>F!B28</f>
        <v>Woody Diameter Classes</v>
      </c>
      <c r="C27" s="483" t="str">
        <f>F!C28</f>
        <v>Mark ALL the types that comprise &gt;5% of the woody canopy cover in the AA or &gt;5% of the wooded areas (if any) along its upland edge (perimeter).  The edge should include only the trees whose canopies extend into the AA.</v>
      </c>
      <c r="D27" s="46"/>
      <c r="E27" s="46"/>
      <c r="F27" s="45"/>
      <c r="G27" s="497" t="str">
        <f>IF((MAX(F!D18:'F'!D21)&lt;2),"",((SUM(D28:D35)/8+MAX(F28:F35)/MAX(E28:E35))/2))</f>
        <v/>
      </c>
      <c r="H27" s="1696" t="s">
        <v>1867</v>
      </c>
      <c r="I27" s="1669" t="s">
        <v>511</v>
      </c>
    </row>
    <row r="28" spans="1:9" ht="15" customHeight="1" x14ac:dyDescent="0.2">
      <c r="A28" s="2054"/>
      <c r="B28" s="2061"/>
      <c r="C28" s="83" t="str">
        <f>F!C29</f>
        <v>coniferous, 1-9 cm diameter and &gt;1 m tall.</v>
      </c>
      <c r="D28" s="49">
        <f>F!D29</f>
        <v>0</v>
      </c>
      <c r="E28" s="41">
        <v>0</v>
      </c>
      <c r="F28" s="44">
        <f t="shared" ref="F28:F35" si="2">D28*E28</f>
        <v>0</v>
      </c>
      <c r="G28" s="571"/>
      <c r="H28" s="2061"/>
      <c r="I28" s="1670"/>
    </row>
    <row r="29" spans="1:9" ht="15" customHeight="1" x14ac:dyDescent="0.2">
      <c r="A29" s="2054"/>
      <c r="B29" s="2061"/>
      <c r="C29" s="477" t="str">
        <f>F!C30</f>
        <v>broad-leaved deciduous 1-9 cm diameter and &gt;1 m tall.</v>
      </c>
      <c r="D29" s="22">
        <f>F!D30</f>
        <v>0</v>
      </c>
      <c r="E29" s="41">
        <v>1</v>
      </c>
      <c r="F29" s="44">
        <f t="shared" si="2"/>
        <v>0</v>
      </c>
      <c r="G29" s="567"/>
      <c r="H29" s="2061"/>
      <c r="I29" s="1670"/>
    </row>
    <row r="30" spans="1:9" ht="15" customHeight="1" x14ac:dyDescent="0.2">
      <c r="A30" s="2054"/>
      <c r="B30" s="2061"/>
      <c r="C30" s="477" t="str">
        <f>F!C31</f>
        <v>coniferous, 10-19 cm diameter.</v>
      </c>
      <c r="D30" s="22">
        <f>F!D31</f>
        <v>0</v>
      </c>
      <c r="E30" s="41">
        <v>2</v>
      </c>
      <c r="F30" s="44">
        <f t="shared" si="2"/>
        <v>0</v>
      </c>
      <c r="G30" s="567"/>
      <c r="H30" s="2061"/>
      <c r="I30" s="1670"/>
    </row>
    <row r="31" spans="1:9" ht="15" customHeight="1" x14ac:dyDescent="0.2">
      <c r="A31" s="2054"/>
      <c r="B31" s="2061"/>
      <c r="C31" s="477" t="str">
        <f>F!C32</f>
        <v>broad-leaved deciduous 10-19 cm diameter.</v>
      </c>
      <c r="D31" s="22">
        <f>F!D32</f>
        <v>0</v>
      </c>
      <c r="E31" s="41">
        <v>3</v>
      </c>
      <c r="F31" s="44">
        <f t="shared" si="2"/>
        <v>0</v>
      </c>
      <c r="G31" s="567"/>
      <c r="H31" s="2061"/>
      <c r="I31" s="1670"/>
    </row>
    <row r="32" spans="1:9" ht="15" customHeight="1" x14ac:dyDescent="0.2">
      <c r="A32" s="2054"/>
      <c r="B32" s="2061"/>
      <c r="C32" s="477" t="str">
        <f>F!C33</f>
        <v>coniferous, 20-40 cm diameter.</v>
      </c>
      <c r="D32" s="22">
        <f>F!D33</f>
        <v>0</v>
      </c>
      <c r="E32" s="41">
        <v>4</v>
      </c>
      <c r="F32" s="44">
        <f t="shared" si="2"/>
        <v>0</v>
      </c>
      <c r="G32" s="567"/>
      <c r="H32" s="2061"/>
      <c r="I32" s="1670"/>
    </row>
    <row r="33" spans="1:9" ht="15" customHeight="1" x14ac:dyDescent="0.2">
      <c r="A33" s="2054"/>
      <c r="B33" s="2061"/>
      <c r="C33" s="477" t="str">
        <f>F!C34</f>
        <v>broad-leaved deciduous 20-40 cm diameter.</v>
      </c>
      <c r="D33" s="22">
        <f>F!D34</f>
        <v>0</v>
      </c>
      <c r="E33" s="41">
        <v>6</v>
      </c>
      <c r="F33" s="44">
        <f t="shared" si="2"/>
        <v>0</v>
      </c>
      <c r="G33" s="567"/>
      <c r="H33" s="2061"/>
      <c r="I33" s="1670"/>
    </row>
    <row r="34" spans="1:9" ht="15" customHeight="1" x14ac:dyDescent="0.2">
      <c r="A34" s="2054"/>
      <c r="B34" s="2061"/>
      <c r="C34" s="477" t="str">
        <f>F!C35</f>
        <v>coniferous, &gt;40 cm diameter.</v>
      </c>
      <c r="D34" s="22">
        <f>F!D35</f>
        <v>0</v>
      </c>
      <c r="E34" s="41">
        <v>5</v>
      </c>
      <c r="F34" s="44">
        <f t="shared" si="2"/>
        <v>0</v>
      </c>
      <c r="G34" s="567"/>
      <c r="H34" s="2061"/>
      <c r="I34" s="1670"/>
    </row>
    <row r="35" spans="1:9" ht="15" customHeight="1" thickBot="1" x14ac:dyDescent="0.25">
      <c r="A35" s="2055"/>
      <c r="B35" s="2062"/>
      <c r="C35" s="478" t="str">
        <f>F!C36</f>
        <v>broad-leaved deciduous &gt;40 cm diameter.</v>
      </c>
      <c r="D35" s="97">
        <f>F!D36</f>
        <v>0</v>
      </c>
      <c r="E35" s="106">
        <v>8</v>
      </c>
      <c r="F35" s="103">
        <f t="shared" si="2"/>
        <v>0</v>
      </c>
      <c r="G35" s="568"/>
      <c r="H35" s="2062"/>
      <c r="I35" s="1671"/>
    </row>
    <row r="36" spans="1:9" ht="30" customHeight="1" thickBot="1" x14ac:dyDescent="0.25">
      <c r="A36" s="2072" t="str">
        <f>F!A44</f>
        <v>F7</v>
      </c>
      <c r="B36" s="2070" t="str">
        <f>F!B44</f>
        <v>Large Snags (Dead Standing Trees)</v>
      </c>
      <c r="C36" s="483" t="str">
        <f>F!C44</f>
        <v>The number of large snags (diameter &gt;20 cm) in the AA plus adjacent upland area within 10 m of the wetland edge is:</v>
      </c>
      <c r="D36" s="100"/>
      <c r="E36" s="45"/>
      <c r="F36" s="45"/>
      <c r="G36" s="497" t="str">
        <f>IF((MAX(F!D18:D21)&lt;2),"",MAX(F37:F39)/MAX(E37:E39))</f>
        <v/>
      </c>
      <c r="H36" s="1670" t="s">
        <v>1868</v>
      </c>
      <c r="I36" s="1669" t="s">
        <v>512</v>
      </c>
    </row>
    <row r="37" spans="1:9" ht="15" customHeight="1" x14ac:dyDescent="0.2">
      <c r="A37" s="2072"/>
      <c r="B37" s="2070"/>
      <c r="C37" s="83" t="str">
        <f>F!C45</f>
        <v>None, or fewer than 8/ hectare which exceed this diameter.</v>
      </c>
      <c r="D37" s="49">
        <f>F!D45</f>
        <v>0</v>
      </c>
      <c r="E37" s="43">
        <v>0</v>
      </c>
      <c r="F37" s="44">
        <f>D37*E37</f>
        <v>0</v>
      </c>
      <c r="G37" s="573"/>
      <c r="H37" s="2070"/>
      <c r="I37" s="1670"/>
    </row>
    <row r="38" spans="1:9" ht="15" customHeight="1" x14ac:dyDescent="0.2">
      <c r="A38" s="2072"/>
      <c r="B38" s="2070"/>
      <c r="C38" s="477" t="str">
        <f>F!C46</f>
        <v>Several ( &gt;8/hectare) and a pond, lake, or slow-flowing water wider than 10 m is within 1 km.</v>
      </c>
      <c r="D38" s="22">
        <f>F!D46</f>
        <v>0</v>
      </c>
      <c r="E38" s="43">
        <v>1</v>
      </c>
      <c r="F38" s="44">
        <f>D38*E38</f>
        <v>0</v>
      </c>
      <c r="G38" s="570"/>
      <c r="H38" s="2070"/>
      <c r="I38" s="1670"/>
    </row>
    <row r="39" spans="1:9" ht="15" customHeight="1" thickBot="1" x14ac:dyDescent="0.25">
      <c r="A39" s="2072"/>
      <c r="B39" s="2070"/>
      <c r="C39" s="484" t="str">
        <f>F!C47</f>
        <v>Several ( &gt;8/hectare) but above not true.</v>
      </c>
      <c r="D39" s="42">
        <f>F!D47</f>
        <v>0</v>
      </c>
      <c r="E39" s="47">
        <v>1</v>
      </c>
      <c r="F39" s="99">
        <f>D39*E39</f>
        <v>0</v>
      </c>
      <c r="G39" s="572"/>
      <c r="H39" s="2070"/>
      <c r="I39" s="1671"/>
    </row>
    <row r="40" spans="1:9" ht="30" customHeight="1" thickBot="1" x14ac:dyDescent="0.25">
      <c r="A40" s="2145" t="str">
        <f>F!A48</f>
        <v>F8</v>
      </c>
      <c r="B40" s="2137" t="str">
        <f>F!B48</f>
        <v>Downed Wood</v>
      </c>
      <c r="C40" s="476" t="str">
        <f>F!C48</f>
        <v>The number of downed wood pieces longer than 2 m and with diameter &gt;10 cm, and not persistently submerged, is:</v>
      </c>
      <c r="D40" s="100"/>
      <c r="E40" s="100"/>
      <c r="F40" s="101"/>
      <c r="G40" s="511" t="str">
        <f>IF((MAX(F!D18:D21)&lt;2),"", MAX(F41:F42))</f>
        <v/>
      </c>
      <c r="H40" s="1693" t="s">
        <v>1869</v>
      </c>
      <c r="I40" s="1669" t="s">
        <v>513</v>
      </c>
    </row>
    <row r="41" spans="1:9" ht="15" customHeight="1" x14ac:dyDescent="0.2">
      <c r="A41" s="2054"/>
      <c r="B41" s="2061"/>
      <c r="C41" s="83" t="str">
        <f>F!C49</f>
        <v>Few or none that meet these criteria.</v>
      </c>
      <c r="D41" s="49">
        <f>F!D49</f>
        <v>0</v>
      </c>
      <c r="E41" s="43">
        <v>0</v>
      </c>
      <c r="F41" s="44">
        <f>D41*E41</f>
        <v>0</v>
      </c>
      <c r="G41" s="571"/>
      <c r="H41" s="2061"/>
      <c r="I41" s="1670"/>
    </row>
    <row r="42" spans="1:9" ht="15" customHeight="1" thickBot="1" x14ac:dyDescent="0.25">
      <c r="A42" s="2055"/>
      <c r="B42" s="2062"/>
      <c r="C42" s="478" t="str">
        <f>F!C50</f>
        <v>Several (&gt;5 if AA is &gt;5 hectares, less for smaller AAs) meet these criteria.</v>
      </c>
      <c r="D42" s="97">
        <f>F!D50</f>
        <v>0</v>
      </c>
      <c r="E42" s="102">
        <v>1</v>
      </c>
      <c r="F42" s="103">
        <f>D42*E42</f>
        <v>0</v>
      </c>
      <c r="G42" s="568"/>
      <c r="H42" s="2062"/>
      <c r="I42" s="1671"/>
    </row>
    <row r="43" spans="1:9" ht="30" customHeight="1" thickBot="1" x14ac:dyDescent="0.25">
      <c r="A43" s="2063" t="str">
        <f>F!A63</f>
        <v>F11</v>
      </c>
      <c r="B43" s="2061" t="str">
        <f>F!B63</f>
        <v>% Bare Ground &amp; Thatch</v>
      </c>
      <c r="C43" s="483" t="str">
        <f>F!C63</f>
        <v>Consider the parts of the AA that lack surface water at the driest time of the growing season. Viewed from directly above the ground layer, the predominant condition in those areas at that time is:</v>
      </c>
      <c r="D43" s="46"/>
      <c r="E43" s="46"/>
      <c r="F43" s="45"/>
      <c r="G43" s="497">
        <f>MAX(F44:F47)/MAX(E44:E47)</f>
        <v>0</v>
      </c>
      <c r="H43" s="1696" t="s">
        <v>1590</v>
      </c>
      <c r="I43" s="1669" t="s">
        <v>514</v>
      </c>
    </row>
    <row r="44" spans="1:9" ht="42" customHeight="1" x14ac:dyDescent="0.2">
      <c r="A44" s="2063"/>
      <c r="B44" s="2061"/>
      <c r="C44" s="83" t="str">
        <f>F!C64</f>
        <v>Little or no (&lt;5%) bare ground is visible between erect stems or under canopy anywhere in the vegetated AA. Ground is extensively blanketed by dense thatch, moss, lichens, graminoids with great stem densities, or plants with ground-hugging foliage. </v>
      </c>
      <c r="D44" s="49">
        <f>F!D64</f>
        <v>0</v>
      </c>
      <c r="E44" s="43">
        <v>1</v>
      </c>
      <c r="F44" s="44">
        <f>D44*E44</f>
        <v>0</v>
      </c>
      <c r="G44" s="571"/>
      <c r="H44" s="2061"/>
      <c r="I44" s="1670"/>
    </row>
    <row r="45" spans="1:9" ht="27" customHeight="1" x14ac:dyDescent="0.2">
      <c r="A45" s="2063"/>
      <c r="B45" s="2061"/>
      <c r="C45" s="477" t="str">
        <f>F!C65</f>
        <v>Slightly bare ground (5-20% bare between plants) is visible in places, but those areas comprise less than 5% of the unflooded parts of the AA.</v>
      </c>
      <c r="D45" s="22">
        <f>F!D65</f>
        <v>0</v>
      </c>
      <c r="E45" s="43">
        <v>2</v>
      </c>
      <c r="F45" s="44">
        <f>D45*E45</f>
        <v>0</v>
      </c>
      <c r="G45" s="567"/>
      <c r="H45" s="2061"/>
      <c r="I45" s="1670"/>
    </row>
    <row r="46" spans="1:9" ht="27" customHeight="1" x14ac:dyDescent="0.2">
      <c r="A46" s="2063"/>
      <c r="B46" s="2061"/>
      <c r="C46" s="477" t="str">
        <f>F!C66</f>
        <v>Much bare ground (20-50% bare between plants) is visible in places, and those areas comprise more than 5% of the unflooded parts of the AA. </v>
      </c>
      <c r="D46" s="22">
        <f>F!D66</f>
        <v>0</v>
      </c>
      <c r="E46" s="43">
        <v>3</v>
      </c>
      <c r="F46" s="44">
        <f>D46*E46</f>
        <v>0</v>
      </c>
      <c r="G46" s="567"/>
      <c r="H46" s="2061"/>
      <c r="I46" s="1670"/>
    </row>
    <row r="47" spans="1:9" ht="15" customHeight="1" thickBot="1" x14ac:dyDescent="0.25">
      <c r="A47" s="2063"/>
      <c r="B47" s="2061"/>
      <c r="C47" s="484" t="str">
        <f>F!C67</f>
        <v>Other conditions.</v>
      </c>
      <c r="D47" s="42">
        <f>F!D67</f>
        <v>0</v>
      </c>
      <c r="E47" s="47">
        <v>0</v>
      </c>
      <c r="F47" s="99">
        <f>D47*E47</f>
        <v>0</v>
      </c>
      <c r="G47" s="572"/>
      <c r="H47" s="2061"/>
      <c r="I47" s="1671"/>
    </row>
    <row r="48" spans="1:9" ht="60" customHeight="1" thickBot="1" x14ac:dyDescent="0.25">
      <c r="A48" s="2145" t="str">
        <f>F!A69</f>
        <v>F12</v>
      </c>
      <c r="B48" s="2137" t="str">
        <f>F!B69</f>
        <v xml:space="preserve">Ground Irregularity </v>
      </c>
      <c r="C48" s="476" t="str">
        <f>F!C69</f>
        <v>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v>
      </c>
      <c r="D48" s="100"/>
      <c r="E48" s="100"/>
      <c r="F48" s="101"/>
      <c r="G48" s="511">
        <f>MAX(F49:F51)/MAX(E49:E51)</f>
        <v>0</v>
      </c>
      <c r="H48" s="2137" t="s">
        <v>10</v>
      </c>
      <c r="I48" s="1669" t="s">
        <v>515</v>
      </c>
    </row>
    <row r="49" spans="1:9" ht="27" customHeight="1" x14ac:dyDescent="0.2">
      <c r="A49" s="2054"/>
      <c r="B49" s="2061"/>
      <c r="C49" s="83" t="str">
        <f>F!C70</f>
        <v>Few or none (minimal microtopography; &lt;1% of the land has such features, or entire AA is always water-covered).</v>
      </c>
      <c r="D49" s="49">
        <f>F!D70</f>
        <v>0</v>
      </c>
      <c r="E49" s="43">
        <v>0</v>
      </c>
      <c r="F49" s="44">
        <f>D49*E49</f>
        <v>0</v>
      </c>
      <c r="G49" s="571"/>
      <c r="H49" s="2061"/>
      <c r="I49" s="1670"/>
    </row>
    <row r="50" spans="1:9" ht="15" customHeight="1" x14ac:dyDescent="0.2">
      <c r="A50" s="2054"/>
      <c r="B50" s="2061"/>
      <c r="C50" s="477" t="str">
        <f>F!C71</f>
        <v>Intermediate.</v>
      </c>
      <c r="D50" s="22">
        <f>F!D71</f>
        <v>0</v>
      </c>
      <c r="E50" s="43">
        <v>1</v>
      </c>
      <c r="F50" s="44">
        <f>D50*E50</f>
        <v>0</v>
      </c>
      <c r="G50" s="567"/>
      <c r="H50" s="2061"/>
      <c r="I50" s="1670"/>
    </row>
    <row r="51" spans="1:9" ht="15" customHeight="1" thickBot="1" x14ac:dyDescent="0.25">
      <c r="A51" s="2055"/>
      <c r="B51" s="2062"/>
      <c r="C51" s="478" t="str">
        <f>F!C72</f>
        <v>Several (extensive micro-topography).</v>
      </c>
      <c r="D51" s="97">
        <f>F!D72</f>
        <v>0</v>
      </c>
      <c r="E51" s="102">
        <v>2</v>
      </c>
      <c r="F51" s="103">
        <f>D51*E51</f>
        <v>0</v>
      </c>
      <c r="G51" s="568"/>
      <c r="H51" s="2062"/>
      <c r="I51" s="1671"/>
    </row>
    <row r="52" spans="1:9" ht="30" customHeight="1" thickBot="1" x14ac:dyDescent="0.25">
      <c r="A52" s="2134" t="str">
        <f>F!A94</f>
        <v>F17</v>
      </c>
      <c r="B52" s="2069" t="str">
        <f>F!B94</f>
        <v xml:space="preserve">Forb Cover </v>
      </c>
      <c r="C52" s="476" t="str">
        <f>F!C94</f>
        <v>Within parts of the AA having herbaceous cover (excluding SAV), the areal cover of forbs reaches an annual maximum of:</v>
      </c>
      <c r="D52" s="100"/>
      <c r="E52" s="100"/>
      <c r="F52" s="101"/>
      <c r="G52" s="511">
        <f>IF((NoHerbCov=1),"", MAX(F53:F57)/MAX(E53:E57))</f>
        <v>0</v>
      </c>
      <c r="H52" s="1693" t="s">
        <v>603</v>
      </c>
      <c r="I52" s="1669" t="s">
        <v>2228</v>
      </c>
    </row>
    <row r="53" spans="1:9" ht="15" customHeight="1" x14ac:dyDescent="0.2">
      <c r="A53" s="2135"/>
      <c r="B53" s="2070"/>
      <c r="C53" s="83" t="str">
        <f>F!C95</f>
        <v xml:space="preserve">&lt;5% of the herbaceous part of the AA. </v>
      </c>
      <c r="D53" s="49">
        <f>F!D95</f>
        <v>0</v>
      </c>
      <c r="E53" s="43">
        <v>0</v>
      </c>
      <c r="F53" s="44">
        <f>D53*E53</f>
        <v>0</v>
      </c>
      <c r="G53" s="571"/>
      <c r="H53" s="2061"/>
      <c r="I53" s="1670"/>
    </row>
    <row r="54" spans="1:9" ht="15" customHeight="1" x14ac:dyDescent="0.2">
      <c r="A54" s="2135"/>
      <c r="B54" s="2070"/>
      <c r="C54" s="477" t="str">
        <f>F!C96</f>
        <v>5-25% of the herbaceous part of the AA.</v>
      </c>
      <c r="D54" s="22">
        <f>F!D96</f>
        <v>0</v>
      </c>
      <c r="E54" s="43">
        <v>1</v>
      </c>
      <c r="F54" s="44">
        <f>D54*E54</f>
        <v>0</v>
      </c>
      <c r="G54" s="571"/>
      <c r="H54" s="2061"/>
      <c r="I54" s="1670"/>
    </row>
    <row r="55" spans="1:9" ht="15" customHeight="1" x14ac:dyDescent="0.2">
      <c r="A55" s="2135"/>
      <c r="B55" s="2070"/>
      <c r="C55" s="477" t="str">
        <f>F!C97</f>
        <v>25-50% of the herbaceous part of the AA.</v>
      </c>
      <c r="D55" s="22">
        <f>F!D97</f>
        <v>0</v>
      </c>
      <c r="E55" s="43">
        <v>2</v>
      </c>
      <c r="F55" s="44">
        <f>D55*E55</f>
        <v>0</v>
      </c>
      <c r="G55" s="571"/>
      <c r="H55" s="2061"/>
      <c r="I55" s="1670"/>
    </row>
    <row r="56" spans="1:9" ht="15" customHeight="1" x14ac:dyDescent="0.2">
      <c r="A56" s="2135"/>
      <c r="B56" s="2070"/>
      <c r="C56" s="477" t="str">
        <f>F!C98</f>
        <v>50-95% of the herbaceous part of the AA.</v>
      </c>
      <c r="D56" s="22">
        <f>F!D98</f>
        <v>0</v>
      </c>
      <c r="E56" s="43">
        <v>3</v>
      </c>
      <c r="F56" s="44">
        <f>D56*E56</f>
        <v>0</v>
      </c>
      <c r="G56" s="567"/>
      <c r="H56" s="2061"/>
      <c r="I56" s="1670"/>
    </row>
    <row r="57" spans="1:9" ht="15" customHeight="1" thickBot="1" x14ac:dyDescent="0.25">
      <c r="A57" s="2136"/>
      <c r="B57" s="2071"/>
      <c r="C57" s="478" t="str">
        <f>F!C99</f>
        <v>&gt;95% of the herbaceous part of the AA.</v>
      </c>
      <c r="D57" s="97">
        <f>F!D99</f>
        <v>0</v>
      </c>
      <c r="E57" s="102">
        <v>4</v>
      </c>
      <c r="F57" s="103">
        <f>D57*E57</f>
        <v>0</v>
      </c>
      <c r="G57" s="568"/>
      <c r="H57" s="2062"/>
      <c r="I57" s="1671"/>
    </row>
    <row r="58" spans="1:9" ht="30" customHeight="1" thickBot="1" x14ac:dyDescent="0.25">
      <c r="A58" s="2072" t="str">
        <f>F!A105</f>
        <v>F19</v>
      </c>
      <c r="B58" s="2070" t="str">
        <f>F!B105</f>
        <v xml:space="preserve">Dominance of Most Abundant Herbaceous Species </v>
      </c>
      <c r="C58" s="483" t="str">
        <f>F!C105</f>
        <v>Determine which two herbaceous species comprise the greatest portion of the herbaceous cover (excluding mosses and floating-leaved aquatic plants). Then choose one of the following:</v>
      </c>
      <c r="D58" s="100"/>
      <c r="E58" s="46"/>
      <c r="F58" s="45"/>
      <c r="G58" s="497">
        <f>IF((NoHerbCov=1),"",MAX(F59:F60))</f>
        <v>0</v>
      </c>
      <c r="H58" s="1696" t="s">
        <v>1596</v>
      </c>
      <c r="I58" s="1669" t="s">
        <v>517</v>
      </c>
    </row>
    <row r="59" spans="1:9" ht="15" customHeight="1" x14ac:dyDescent="0.2">
      <c r="A59" s="2072"/>
      <c r="B59" s="2070"/>
      <c r="C59" s="83" t="str">
        <f>F!C106</f>
        <v>those species together comprise &gt; 50% of the areal cover of herbaceous plants at any time during the year.</v>
      </c>
      <c r="D59" s="49">
        <f>F!D106</f>
        <v>0</v>
      </c>
      <c r="E59" s="43">
        <v>0</v>
      </c>
      <c r="F59" s="44">
        <f>D59*E59</f>
        <v>0</v>
      </c>
      <c r="G59" s="567"/>
      <c r="H59" s="2061"/>
      <c r="I59" s="1670"/>
    </row>
    <row r="60" spans="1:9" ht="27" customHeight="1" thickBot="1" x14ac:dyDescent="0.25">
      <c r="A60" s="2072"/>
      <c r="B60" s="2070"/>
      <c r="C60" s="484" t="str">
        <f>F!C107</f>
        <v>those species together do not comprise &gt; 50% of the areal cover of herbaceous plants at any time during the year.</v>
      </c>
      <c r="D60" s="42">
        <f>F!D107</f>
        <v>0</v>
      </c>
      <c r="E60" s="47">
        <v>1</v>
      </c>
      <c r="F60" s="99">
        <f>D60*E60</f>
        <v>0</v>
      </c>
      <c r="G60" s="572"/>
      <c r="H60" s="2061"/>
      <c r="I60" s="1671"/>
    </row>
    <row r="61" spans="1:9" ht="30" customHeight="1" thickBot="1" x14ac:dyDescent="0.25">
      <c r="A61" s="2145" t="str">
        <f>F!A108</f>
        <v>F20</v>
      </c>
      <c r="B61" s="2137" t="str">
        <f>F!B108</f>
        <v>Invasive Plant Cover</v>
      </c>
      <c r="C61" s="476" t="str">
        <f>F!C108</f>
        <v>How extensive is the cover of invasive plant species in the AA?  For species, see Plants_invasive worksheet in the accompanying SuppInfo file.</v>
      </c>
      <c r="D61" s="100"/>
      <c r="E61" s="100"/>
      <c r="F61" s="101"/>
      <c r="G61" s="511">
        <f>MAX(F62:F66)/MAX(E62:E66)</f>
        <v>0</v>
      </c>
      <c r="H61" s="1971" t="s">
        <v>1606</v>
      </c>
      <c r="I61" s="1669" t="s">
        <v>516</v>
      </c>
    </row>
    <row r="62" spans="1:9" ht="27" customHeight="1" x14ac:dyDescent="0.2">
      <c r="A62" s="2054"/>
      <c r="B62" s="2061"/>
      <c r="C62" s="83" t="str">
        <f>F!C109</f>
        <v>invasive species appear to be absent in the AA, or are present only in trace amount (a few individuals).</v>
      </c>
      <c r="D62" s="49">
        <f>F!D109</f>
        <v>0</v>
      </c>
      <c r="E62" s="43">
        <v>4</v>
      </c>
      <c r="F62" s="44">
        <f>D62*E62</f>
        <v>0</v>
      </c>
      <c r="G62" s="571"/>
      <c r="H62" s="2147"/>
      <c r="I62" s="1670"/>
    </row>
    <row r="63" spans="1:9" ht="27" customHeight="1" x14ac:dyDescent="0.2">
      <c r="A63" s="2054"/>
      <c r="B63" s="2061"/>
      <c r="C63" s="83" t="str">
        <f>F!C110</f>
        <v>invasive species are present in more than trace amounts, but comprise &lt;5% of herbaceous cover (or woody cover, if the invasives are woody).</v>
      </c>
      <c r="D63" s="49">
        <f>F!D110</f>
        <v>0</v>
      </c>
      <c r="E63" s="43">
        <v>3</v>
      </c>
      <c r="F63" s="44">
        <f>D63*E63</f>
        <v>0</v>
      </c>
      <c r="G63" s="571"/>
      <c r="H63" s="2147"/>
      <c r="I63" s="1670"/>
    </row>
    <row r="64" spans="1:9" ht="27" customHeight="1" x14ac:dyDescent="0.2">
      <c r="A64" s="2054"/>
      <c r="B64" s="2061"/>
      <c r="C64" s="83" t="str">
        <f>F!C111</f>
        <v>invasive species comprise 5-20% of the herb cover (or woody cover, if the invasives are woody).</v>
      </c>
      <c r="D64" s="49">
        <f>F!D111</f>
        <v>0</v>
      </c>
      <c r="E64" s="43">
        <v>2</v>
      </c>
      <c r="F64" s="44">
        <f>D64*E64</f>
        <v>0</v>
      </c>
      <c r="G64" s="567"/>
      <c r="H64" s="2147"/>
      <c r="I64" s="1670"/>
    </row>
    <row r="65" spans="1:9" ht="27" customHeight="1" x14ac:dyDescent="0.2">
      <c r="A65" s="2054"/>
      <c r="B65" s="2061"/>
      <c r="C65" s="83" t="str">
        <f>F!C112</f>
        <v>invasive species comprise 20-50% of the herb cover  (or woody cover, if the invasives are woody).</v>
      </c>
      <c r="D65" s="49">
        <f>F!D112</f>
        <v>0</v>
      </c>
      <c r="E65" s="43">
        <v>1</v>
      </c>
      <c r="F65" s="44">
        <f>D65*E65</f>
        <v>0</v>
      </c>
      <c r="G65" s="567"/>
      <c r="H65" s="2147"/>
      <c r="I65" s="1670"/>
    </row>
    <row r="66" spans="1:9" ht="26.25" customHeight="1" thickBot="1" x14ac:dyDescent="0.25">
      <c r="A66" s="2055"/>
      <c r="B66" s="2062"/>
      <c r="C66" s="83" t="str">
        <f>F!C113</f>
        <v>invasive species comprise &gt;50% of the herb cover  (or woody cover, if the invasives are woody).</v>
      </c>
      <c r="D66" s="49">
        <f>F!D113</f>
        <v>0</v>
      </c>
      <c r="E66" s="102">
        <v>0</v>
      </c>
      <c r="F66" s="103">
        <f>D66*E66</f>
        <v>0</v>
      </c>
      <c r="G66" s="568"/>
      <c r="H66" s="2148"/>
      <c r="I66" s="1671"/>
    </row>
    <row r="67" spans="1:9" ht="45" customHeight="1" thickBot="1" x14ac:dyDescent="0.25">
      <c r="A67" s="2134" t="str">
        <f>F!A128</f>
        <v>F25</v>
      </c>
      <c r="B67" s="2069" t="str">
        <f>F!B128</f>
        <v>% of AA with Persistent Surface Water</v>
      </c>
      <c r="C67" s="476" t="str">
        <f>F!C128</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67" s="100"/>
      <c r="E67" s="100"/>
      <c r="F67" s="101"/>
      <c r="G67" s="511">
        <f>IF((AllSat1&gt;0),"", MAX(F68:F72)/MAX(E68:E72))</f>
        <v>0</v>
      </c>
      <c r="H67" s="1693" t="s">
        <v>1870</v>
      </c>
      <c r="I67" s="1669" t="s">
        <v>510</v>
      </c>
    </row>
    <row r="68" spans="1:9" ht="27" customHeight="1" x14ac:dyDescent="0.2">
      <c r="A68" s="2135"/>
      <c r="B68" s="2070"/>
      <c r="C68" s="484" t="str">
        <f>F!C129</f>
        <v>None. The AA dries up completely (no water in channels either) or never has surface water during most years.  SKIP to F27.</v>
      </c>
      <c r="D68" s="42">
        <f>F!D129</f>
        <v>0</v>
      </c>
      <c r="E68" s="46">
        <v>5</v>
      </c>
      <c r="F68" s="44">
        <f t="shared" ref="F68:F81" si="3">D68*E68</f>
        <v>0</v>
      </c>
      <c r="G68" s="567"/>
      <c r="H68" s="1696"/>
      <c r="I68" s="1670"/>
    </row>
    <row r="69" spans="1:9" ht="15" customHeight="1" x14ac:dyDescent="0.2">
      <c r="A69" s="2135"/>
      <c r="B69" s="2070"/>
      <c r="C69" s="484" t="str">
        <f>F!C130</f>
        <v>1-20% of the AA.</v>
      </c>
      <c r="D69" s="42">
        <f>F!D130</f>
        <v>0</v>
      </c>
      <c r="E69" s="43">
        <v>4</v>
      </c>
      <c r="F69" s="44">
        <f t="shared" si="3"/>
        <v>0</v>
      </c>
      <c r="G69" s="567"/>
      <c r="H69" s="2061"/>
      <c r="I69" s="1670"/>
    </row>
    <row r="70" spans="1:9" ht="15" customHeight="1" x14ac:dyDescent="0.2">
      <c r="A70" s="2135"/>
      <c r="B70" s="2070"/>
      <c r="C70" s="484" t="str">
        <f>F!C131</f>
        <v>20-50% of the AA.</v>
      </c>
      <c r="D70" s="42">
        <f>F!D131</f>
        <v>0</v>
      </c>
      <c r="E70" s="43">
        <v>3</v>
      </c>
      <c r="F70" s="44">
        <f t="shared" si="3"/>
        <v>0</v>
      </c>
      <c r="G70" s="567"/>
      <c r="H70" s="2061"/>
      <c r="I70" s="1670"/>
    </row>
    <row r="71" spans="1:9" ht="15" customHeight="1" x14ac:dyDescent="0.2">
      <c r="A71" s="2135"/>
      <c r="B71" s="2070"/>
      <c r="C71" s="484" t="str">
        <f>F!C132</f>
        <v>50-95% of the AA.</v>
      </c>
      <c r="D71" s="42">
        <f>F!D132</f>
        <v>0</v>
      </c>
      <c r="E71" s="43">
        <v>2</v>
      </c>
      <c r="F71" s="44">
        <f t="shared" si="3"/>
        <v>0</v>
      </c>
      <c r="G71" s="567"/>
      <c r="H71" s="2061"/>
      <c r="I71" s="1670"/>
    </row>
    <row r="72" spans="1:9" ht="15" customHeight="1" thickBot="1" x14ac:dyDescent="0.25">
      <c r="A72" s="2136"/>
      <c r="B72" s="2070"/>
      <c r="C72" s="484" t="str">
        <f>F!C133</f>
        <v>&gt;95% of the AA. True for many fringe wetlands.</v>
      </c>
      <c r="D72" s="42">
        <f>F!D133</f>
        <v>0</v>
      </c>
      <c r="E72" s="104">
        <v>1</v>
      </c>
      <c r="F72" s="99">
        <f t="shared" si="3"/>
        <v>0</v>
      </c>
      <c r="G72" s="572"/>
      <c r="H72" s="2061"/>
      <c r="I72" s="1671"/>
    </row>
    <row r="73" spans="1:9" ht="45" customHeight="1" thickBot="1" x14ac:dyDescent="0.25">
      <c r="A73" s="2134" t="str">
        <f>F!A247</f>
        <v>F52</v>
      </c>
      <c r="B73" s="2069" t="str">
        <f>F!B247</f>
        <v>Vegetated Buffer as % of Perimeter</v>
      </c>
      <c r="C73" s="742" t="str">
        <f>F!C247</f>
        <v>Within a zone extending 30 m laterally from the AA's edge with upland and/or other wetlands, the percentage that contains perennial vegetation cover (except lawns, row crops, heavily grazed land, conifer plantations) is:</v>
      </c>
      <c r="D73" s="512"/>
      <c r="E73" s="126"/>
      <c r="F73" s="127"/>
      <c r="G73" s="511">
        <f>IF((AllSat1&gt;0),"", MAX(F74:F78)/MAX(E74:E78))</f>
        <v>0</v>
      </c>
      <c r="H73" s="1669" t="s">
        <v>1601</v>
      </c>
      <c r="I73" s="1669" t="s">
        <v>1591</v>
      </c>
    </row>
    <row r="74" spans="1:9" ht="15" customHeight="1" x14ac:dyDescent="0.2">
      <c r="A74" s="2135"/>
      <c r="B74" s="2070"/>
      <c r="C74" s="727" t="str">
        <f>F!C248</f>
        <v>&lt;5%.</v>
      </c>
      <c r="D74" s="22">
        <f>F!D248</f>
        <v>0</v>
      </c>
      <c r="E74" s="40">
        <v>0</v>
      </c>
      <c r="F74" s="44">
        <f t="shared" si="3"/>
        <v>0</v>
      </c>
      <c r="G74" s="570"/>
      <c r="H74" s="2070"/>
      <c r="I74" s="1670"/>
    </row>
    <row r="75" spans="1:9" ht="15" customHeight="1" x14ac:dyDescent="0.2">
      <c r="A75" s="2135"/>
      <c r="B75" s="2070"/>
      <c r="C75" s="662" t="str">
        <f>F!C249</f>
        <v>5 to 30%.</v>
      </c>
      <c r="D75" s="22">
        <f>F!D249</f>
        <v>0</v>
      </c>
      <c r="E75" s="40">
        <v>2</v>
      </c>
      <c r="F75" s="44">
        <f t="shared" si="3"/>
        <v>0</v>
      </c>
      <c r="G75" s="570"/>
      <c r="H75" s="2070"/>
      <c r="I75" s="1670"/>
    </row>
    <row r="76" spans="1:9" ht="15" customHeight="1" x14ac:dyDescent="0.2">
      <c r="A76" s="2135"/>
      <c r="B76" s="2070"/>
      <c r="C76" s="662" t="str">
        <f>F!C250</f>
        <v>30 to 60%.</v>
      </c>
      <c r="D76" s="22">
        <f>F!D250</f>
        <v>0</v>
      </c>
      <c r="E76" s="40">
        <v>3</v>
      </c>
      <c r="F76" s="44">
        <f t="shared" si="3"/>
        <v>0</v>
      </c>
      <c r="G76" s="570"/>
      <c r="H76" s="2070"/>
      <c r="I76" s="1670"/>
    </row>
    <row r="77" spans="1:9" ht="15" customHeight="1" x14ac:dyDescent="0.2">
      <c r="A77" s="2135"/>
      <c r="B77" s="2070"/>
      <c r="C77" s="662" t="str">
        <f>F!C251</f>
        <v>60 to 90%.</v>
      </c>
      <c r="D77" s="22">
        <f>F!D251</f>
        <v>0</v>
      </c>
      <c r="E77" s="40">
        <v>3</v>
      </c>
      <c r="F77" s="44">
        <f t="shared" si="3"/>
        <v>0</v>
      </c>
      <c r="G77" s="570"/>
      <c r="H77" s="2070"/>
      <c r="I77" s="1670"/>
    </row>
    <row r="78" spans="1:9" ht="15" customHeight="1" thickBot="1" x14ac:dyDescent="0.25">
      <c r="A78" s="2136"/>
      <c r="B78" s="2071"/>
      <c r="C78" s="663" t="str">
        <f>F!C252</f>
        <v>&gt;90%, or all the area within 30 m of the AA edge is other wetlands. SKIP to F55.</v>
      </c>
      <c r="D78" s="97">
        <f>F!D252</f>
        <v>0</v>
      </c>
      <c r="E78" s="98">
        <v>3</v>
      </c>
      <c r="F78" s="44">
        <f t="shared" si="3"/>
        <v>0</v>
      </c>
      <c r="G78" s="508"/>
      <c r="H78" s="2071"/>
      <c r="I78" s="1671"/>
    </row>
    <row r="79" spans="1:9" ht="30" customHeight="1" thickBot="1" x14ac:dyDescent="0.25">
      <c r="A79" s="2134" t="str">
        <f>F!A253</f>
        <v>F53</v>
      </c>
      <c r="B79" s="2069" t="str">
        <f>F!B253</f>
        <v>Type of Cover in Buffer</v>
      </c>
      <c r="C79" s="742" t="str">
        <f>F!C253</f>
        <v>Within 30 m upslope of where the wetland transitions to upland, the upland land cover that is NOT perennial vegetation is mostly (mark ONE):</v>
      </c>
      <c r="D79" s="512"/>
      <c r="E79" s="126"/>
      <c r="F79" s="101"/>
      <c r="G79" s="999">
        <f>IF((D80=0),0,"")</f>
        <v>0</v>
      </c>
      <c r="H79" s="1669" t="s">
        <v>1593</v>
      </c>
      <c r="I79" s="1669" t="s">
        <v>1592</v>
      </c>
    </row>
    <row r="80" spans="1:9" ht="15" customHeight="1" x14ac:dyDescent="0.2">
      <c r="A80" s="2135"/>
      <c r="B80" s="2070"/>
      <c r="C80" s="727" t="str">
        <f>F!C254</f>
        <v>Impervious surface, e.g., paved road, parking lot, building, exposed rock.</v>
      </c>
      <c r="D80" s="769">
        <f>F!D254</f>
        <v>0</v>
      </c>
      <c r="E80" s="40">
        <v>0</v>
      </c>
      <c r="F80" s="44">
        <f t="shared" si="3"/>
        <v>0</v>
      </c>
      <c r="G80" s="569"/>
      <c r="H80" s="2070"/>
      <c r="I80" s="1670"/>
    </row>
    <row r="81" spans="1:9" ht="27" customHeight="1" thickBot="1" x14ac:dyDescent="0.25">
      <c r="A81" s="2136"/>
      <c r="B81" s="2071"/>
      <c r="C81" s="663" t="str">
        <f>F!C255</f>
        <v>Bare or nearly bare pervious surface or managed vegetation, e.g., lawn, row crops, unpaved road, dike, landslide.</v>
      </c>
      <c r="D81" s="770">
        <f>F!D255</f>
        <v>0</v>
      </c>
      <c r="E81" s="98">
        <v>1</v>
      </c>
      <c r="F81" s="103">
        <f t="shared" si="3"/>
        <v>0</v>
      </c>
      <c r="G81" s="508"/>
      <c r="H81" s="2071"/>
      <c r="I81" s="1671"/>
    </row>
    <row r="82" spans="1:9" ht="45" customHeight="1" thickBot="1" x14ac:dyDescent="0.25">
      <c r="A82" s="939" t="str">
        <f>F!A261</f>
        <v>F55</v>
      </c>
      <c r="B82" s="704" t="str">
        <f>F!B261</f>
        <v xml:space="preserve">Cliffs or Steep Banks </v>
      </c>
      <c r="C82" s="21" t="str">
        <f>F!C261</f>
        <v>In the AA or within 100 m, there are elevated terrestrial features such as cliffs, talus slopes, stream banks, or excavated pits (but not riprap) that extend at least 2 m nearly vertically, are unvegetated, and potentially contain crevices or other substrate suitable for nesting or den areas. Enter 1 (yes) or 0 (no).</v>
      </c>
      <c r="D82" s="167">
        <f>F!D261</f>
        <v>0</v>
      </c>
      <c r="E82" s="514">
        <v>1</v>
      </c>
      <c r="F82" s="593">
        <f>D82*E82</f>
        <v>0</v>
      </c>
      <c r="G82" s="595" t="str">
        <f>IF((D82=0),"",1)</f>
        <v/>
      </c>
      <c r="H82" s="68" t="s">
        <v>1589</v>
      </c>
      <c r="I82" s="3" t="s">
        <v>518</v>
      </c>
    </row>
    <row r="83" spans="1:9" ht="45" customHeight="1" thickBot="1" x14ac:dyDescent="0.25">
      <c r="A83" s="108" t="str">
        <f>S!A25</f>
        <v>S2</v>
      </c>
      <c r="B83" s="92" t="str">
        <f>S!B25</f>
        <v>Accelerated Inputs of Contaminants and/or Salts</v>
      </c>
      <c r="C83" s="1002" t="str">
        <f>S!E37</f>
        <v>Stressor subscore=</v>
      </c>
      <c r="D83" s="767">
        <f>S!F37</f>
        <v>0</v>
      </c>
      <c r="E83" s="514"/>
      <c r="F83" s="687"/>
      <c r="G83" s="564">
        <f>1-D83</f>
        <v>1</v>
      </c>
      <c r="H83" s="3" t="s">
        <v>1755</v>
      </c>
      <c r="I83" s="3" t="s">
        <v>1600</v>
      </c>
    </row>
    <row r="84" spans="1:9" s="56" customFormat="1" ht="36" customHeight="1" thickBot="1" x14ac:dyDescent="0.25">
      <c r="A84" s="850" t="s">
        <v>88</v>
      </c>
      <c r="B84" s="872" t="s">
        <v>1901</v>
      </c>
      <c r="C84" s="873" t="s">
        <v>1164</v>
      </c>
      <c r="D84" s="874" t="s">
        <v>45</v>
      </c>
      <c r="E84" s="875" t="s">
        <v>1188</v>
      </c>
      <c r="F84" s="876" t="s">
        <v>1189</v>
      </c>
      <c r="G84" s="877" t="s">
        <v>2558</v>
      </c>
      <c r="H84" s="872" t="s">
        <v>1117</v>
      </c>
      <c r="I84" s="850" t="s">
        <v>2427</v>
      </c>
    </row>
    <row r="85" spans="1:9" ht="114" customHeight="1" thickBot="1" x14ac:dyDescent="0.25">
      <c r="A85" s="108" t="str">
        <f>OF!A39</f>
        <v>OF6</v>
      </c>
      <c r="B85" s="92" t="str">
        <f>OF!B39</f>
        <v>Herbaceous Uniqueness</v>
      </c>
      <c r="C85" s="109" t="str">
        <f>OF!C39</f>
        <v xml:space="preserve">The AA's vegetation cover is &gt;10% herbaceous* but uplands within 5 km have &lt;10% herbaceous cover. If so, enter "3" and continue to OF7.  If not, consider: 
The AA's vegetation cover is &gt;10% herbaceous* but uplands within 1 km have &lt;10% herbaceous cover. If so enter "2" and continue to OF7.  If not, consider: 
The AA's vegetation cover is &gt;10% herbaceous* but uplands within 100 m of the wetland edge have &lt;10% herbaceous cover.  If so, enter "1".
[* NOTE: Exclude lawns, row crops, heavily grazed lands, forest, shrublands. Include moss as well as grasslike plants in this use of "herbaceous vegetation"]
</v>
      </c>
      <c r="D85" s="643">
        <f>OF!D39</f>
        <v>0</v>
      </c>
      <c r="E85" s="514"/>
      <c r="F85" s="591"/>
      <c r="G85" s="576">
        <f>D85/3</f>
        <v>0</v>
      </c>
      <c r="H85" s="787" t="s">
        <v>2230</v>
      </c>
      <c r="I85" s="36" t="s">
        <v>1598</v>
      </c>
    </row>
    <row r="86" spans="1:9" ht="102" customHeight="1" thickBot="1" x14ac:dyDescent="0.25">
      <c r="A86" s="580" t="str">
        <f>OF!A40</f>
        <v>OF7</v>
      </c>
      <c r="B86" s="941" t="str">
        <f>OF!B40</f>
        <v>Woody Uniqueness</v>
      </c>
      <c r="C86" s="83" t="str">
        <f>OF!C40</f>
        <v xml:space="preserve">The AA's vegetation cover is &gt;10% woody* but uplands within 5 km have &lt;10% woody cover. If so, enter "3" and continue to OF8.  If not, consider: 
The AA's vegetation is &gt;10% woody* but uplands within 1 km have &lt;10% woody cover. If so enter "2" and continue to OF8.  If not, consider: 
The AA's vegetation is &gt;10%  woody* but uplands within 100 m of the wetland edge have &lt;10% woody cover.  If so, enter "1"  
 [* NOTE: woody cover = trees &amp; shrubs taller than 1 m.]
</v>
      </c>
      <c r="D86" s="659">
        <f>OF!D40</f>
        <v>0</v>
      </c>
      <c r="E86" s="585"/>
      <c r="F86" s="596"/>
      <c r="G86" s="576">
        <f>D86/3</f>
        <v>0</v>
      </c>
      <c r="H86" s="68" t="s">
        <v>2231</v>
      </c>
      <c r="I86" s="3" t="s">
        <v>1599</v>
      </c>
    </row>
    <row r="87" spans="1:9" ht="45" customHeight="1" thickBot="1" x14ac:dyDescent="0.25">
      <c r="A87" s="108" t="str">
        <f>OF!A139</f>
        <v>OF29</v>
      </c>
      <c r="B87" s="92" t="str">
        <f>OF!B139</f>
        <v>Species of Conservation Concern</v>
      </c>
      <c r="C87" s="109" t="str">
        <f>OF!C140</f>
        <v xml:space="preserve">Presence of one or more of the plant species listed in the Plants_Rare worksheet of the accompanying SuppInfo file, or the AA is within a mapped Atlantic Coastal Plain Flora Buffer </v>
      </c>
      <c r="D87" s="643">
        <f>OF!D140</f>
        <v>0</v>
      </c>
      <c r="E87" s="95"/>
      <c r="F87" s="95"/>
      <c r="G87" s="576">
        <f>D87</f>
        <v>0</v>
      </c>
      <c r="H87" s="3" t="s">
        <v>1605</v>
      </c>
      <c r="I87" s="3" t="s">
        <v>1047</v>
      </c>
    </row>
    <row r="88" spans="1:9" ht="21" customHeight="1" thickBot="1" x14ac:dyDescent="0.25">
      <c r="A88" s="2146"/>
      <c r="B88" s="2146"/>
      <c r="C88" s="2146"/>
      <c r="D88" s="2146"/>
      <c r="E88" s="2146"/>
      <c r="F88" s="2146"/>
      <c r="G88" s="2146"/>
      <c r="H88" s="2146"/>
      <c r="I88" s="703"/>
    </row>
    <row r="89" spans="1:9" ht="21" customHeight="1" x14ac:dyDescent="0.2">
      <c r="A89" s="2138"/>
      <c r="B89" s="2138"/>
      <c r="C89" s="2138"/>
      <c r="D89" s="1944" t="s">
        <v>615</v>
      </c>
      <c r="E89" s="1945"/>
      <c r="F89" s="1945"/>
      <c r="G89" s="1007">
        <f>AVERAGE(MAX(WoodyHtForm0,Forbs0), AVERAGE(gcover0, herbsens0, herbdiv0, ShrubDiv0))</f>
        <v>0</v>
      </c>
      <c r="H89" s="1029" t="s">
        <v>2229</v>
      </c>
      <c r="I89" s="1030" t="s">
        <v>2167</v>
      </c>
    </row>
    <row r="90" spans="1:9" ht="21" customHeight="1" x14ac:dyDescent="0.2">
      <c r="A90" s="2138"/>
      <c r="B90" s="2138"/>
      <c r="C90" s="2138"/>
      <c r="D90" s="1946" t="s">
        <v>519</v>
      </c>
      <c r="E90" s="1947"/>
      <c r="F90" s="1947"/>
      <c r="G90" s="1008">
        <f>AVERAGE(persist0,AVERAGE(woodydbh0, Snags0, downwood0, girreg0, cliff0,gcover0))</f>
        <v>0</v>
      </c>
      <c r="H90" s="1016" t="s">
        <v>2227</v>
      </c>
      <c r="I90" s="1031" t="s">
        <v>519</v>
      </c>
    </row>
    <row r="91" spans="1:9" ht="21" customHeight="1" thickBot="1" x14ac:dyDescent="0.25">
      <c r="A91" s="2138"/>
      <c r="B91" s="2138"/>
      <c r="C91" s="2138"/>
      <c r="D91" s="1948" t="s">
        <v>1141</v>
      </c>
      <c r="E91" s="1949"/>
      <c r="F91" s="1949"/>
      <c r="G91" s="1009">
        <f>AVERAGE(Toxic0,CovPctScape0, BuffPerim0,BuffLUtype0, DistNat0)</f>
        <v>0.2</v>
      </c>
      <c r="H91" s="1032" t="s">
        <v>2057</v>
      </c>
      <c r="I91" s="1033" t="s">
        <v>2168</v>
      </c>
    </row>
    <row r="92" spans="1:9" ht="21" customHeight="1" thickBot="1" x14ac:dyDescent="0.25">
      <c r="A92" s="2138"/>
      <c r="B92" s="2138"/>
      <c r="C92" s="2138"/>
      <c r="D92" s="2138"/>
      <c r="E92" s="2138"/>
      <c r="F92" s="2138"/>
      <c r="G92" s="2138"/>
      <c r="H92" s="2138"/>
    </row>
    <row r="93" spans="1:9" ht="30" customHeight="1" thickBot="1" x14ac:dyDescent="0.25">
      <c r="A93" s="2138"/>
      <c r="B93" s="2138"/>
      <c r="C93" s="2141" t="s">
        <v>55</v>
      </c>
      <c r="D93" s="2142"/>
      <c r="E93" s="2142"/>
      <c r="F93" s="915" t="s">
        <v>52</v>
      </c>
      <c r="G93" s="1010">
        <f>10*(IF((AllWet=1),0, AVERAGE(PollenOn,NestSites, Stress0)))</f>
        <v>0.66666666666666663</v>
      </c>
      <c r="H93" s="1807" t="s">
        <v>2098</v>
      </c>
      <c r="I93" s="1808"/>
    </row>
    <row r="94" spans="1:9" ht="30" customHeight="1" thickBot="1" x14ac:dyDescent="0.25">
      <c r="A94" s="2138"/>
      <c r="B94" s="2138"/>
      <c r="C94" s="2139" t="s">
        <v>1917</v>
      </c>
      <c r="D94" s="2140"/>
      <c r="E94" s="2140"/>
      <c r="F94" s="915" t="s">
        <v>2223</v>
      </c>
      <c r="G94" s="1011">
        <f>10*(MAX(HerbUniq0,WoodyUniq0,rareherb))</f>
        <v>0</v>
      </c>
      <c r="H94" s="1807" t="s">
        <v>2215</v>
      </c>
      <c r="I94" s="1808"/>
    </row>
    <row r="95" spans="1:9" ht="21" customHeight="1" thickBot="1" x14ac:dyDescent="0.25">
      <c r="D95" s="21"/>
      <c r="E95" s="21"/>
      <c r="F95" s="21"/>
      <c r="G95" s="21"/>
      <c r="H95" s="23"/>
    </row>
    <row r="96" spans="1:9" ht="21" customHeight="1" thickBot="1" x14ac:dyDescent="0.25">
      <c r="D96" s="21"/>
      <c r="E96" s="21"/>
      <c r="F96" s="21"/>
      <c r="G96" s="21"/>
      <c r="H96" s="2150" t="s">
        <v>669</v>
      </c>
      <c r="I96" s="2151"/>
    </row>
    <row r="97" spans="4:9" ht="42" customHeight="1" x14ac:dyDescent="0.2">
      <c r="D97" s="21"/>
      <c r="E97" s="21"/>
      <c r="F97" s="21"/>
      <c r="G97" s="21"/>
      <c r="H97" s="2152" t="s">
        <v>1756</v>
      </c>
      <c r="I97" s="2153"/>
    </row>
    <row r="98" spans="4:9" ht="42" customHeight="1" x14ac:dyDescent="0.2">
      <c r="H98" s="1792" t="s">
        <v>1757</v>
      </c>
      <c r="I98" s="1793"/>
    </row>
    <row r="99" spans="4:9" ht="69.599999999999994" customHeight="1" x14ac:dyDescent="0.2">
      <c r="H99" s="1796" t="s">
        <v>1758</v>
      </c>
      <c r="I99" s="1797"/>
    </row>
    <row r="100" spans="4:9" ht="42" customHeight="1" x14ac:dyDescent="0.2">
      <c r="H100" s="1796" t="s">
        <v>1759</v>
      </c>
      <c r="I100" s="1797"/>
    </row>
    <row r="101" spans="4:9" ht="42" customHeight="1" x14ac:dyDescent="0.2">
      <c r="H101" s="1792" t="s">
        <v>1760</v>
      </c>
      <c r="I101" s="1793"/>
    </row>
    <row r="102" spans="4:9" ht="42" customHeight="1" x14ac:dyDescent="0.2">
      <c r="H102" s="1792" t="s">
        <v>1761</v>
      </c>
      <c r="I102" s="1793"/>
    </row>
    <row r="103" spans="4:9" ht="42" customHeight="1" x14ac:dyDescent="0.2">
      <c r="H103" s="1792" t="s">
        <v>1767</v>
      </c>
      <c r="I103" s="1793"/>
    </row>
    <row r="104" spans="4:9" ht="42" customHeight="1" x14ac:dyDescent="0.2">
      <c r="H104" s="1792" t="s">
        <v>1762</v>
      </c>
      <c r="I104" s="1793"/>
    </row>
    <row r="105" spans="4:9" ht="27" customHeight="1" x14ac:dyDescent="0.2">
      <c r="H105" s="1796" t="s">
        <v>1763</v>
      </c>
      <c r="I105" s="1797"/>
    </row>
    <row r="106" spans="4:9" ht="42" customHeight="1" x14ac:dyDescent="0.2">
      <c r="H106" s="1796" t="s">
        <v>1764</v>
      </c>
      <c r="I106" s="1797"/>
    </row>
    <row r="107" spans="4:9" ht="27" customHeight="1" x14ac:dyDescent="0.2">
      <c r="H107" s="1792" t="s">
        <v>908</v>
      </c>
      <c r="I107" s="1793"/>
    </row>
    <row r="108" spans="4:9" ht="42" customHeight="1" x14ac:dyDescent="0.2">
      <c r="H108" s="1792" t="s">
        <v>1765</v>
      </c>
      <c r="I108" s="1793"/>
    </row>
    <row r="109" spans="4:9" ht="27" customHeight="1" thickBot="1" x14ac:dyDescent="0.25">
      <c r="H109" s="2013" t="s">
        <v>1766</v>
      </c>
      <c r="I109" s="2014"/>
    </row>
    <row r="110" spans="4:9" x14ac:dyDescent="0.2">
      <c r="H110" s="2"/>
    </row>
    <row r="111" spans="4:9" x14ac:dyDescent="0.2">
      <c r="H111" s="2"/>
    </row>
    <row r="112" spans="4:9" x14ac:dyDescent="0.2">
      <c r="H112" s="2"/>
    </row>
  </sheetData>
  <sheetProtection algorithmName="SHA-512" hashValue="zG1k4a+gM+m6RzYWHLm1dSMyeEEAo69T73wGoDdoQH50gYtsmePlcTnePdbihZ2YzjnuOEJL2gbAZD+cbfeKNQ==" saltValue="LiBkKS4/sp2/wkE4evpg5g==" spinCount="100000" sheet="1" formatCells="0" formatColumns="0" formatRows="0"/>
  <customSheetViews>
    <customSheetView guid="{B8E02330-2419-4DE6-AD01-7ACC7A5D18DD}" scale="70">
      <selection activeCell="C9" sqref="C9"/>
      <pageMargins left="0.75" right="0.75" top="1" bottom="1" header="0.5" footer="0.5"/>
      <pageSetup orientation="portrait" r:id="rId1"/>
      <headerFooter alignWithMargins="0"/>
    </customSheetView>
  </customSheetViews>
  <mergeCells count="87">
    <mergeCell ref="B17:B23"/>
    <mergeCell ref="H17:H23"/>
    <mergeCell ref="I17:I23"/>
    <mergeCell ref="H109:I109"/>
    <mergeCell ref="H101:I101"/>
    <mergeCell ref="H102:I102"/>
    <mergeCell ref="H103:I103"/>
    <mergeCell ref="H104:I104"/>
    <mergeCell ref="H105:I105"/>
    <mergeCell ref="H99:I99"/>
    <mergeCell ref="H100:I100"/>
    <mergeCell ref="H106:I106"/>
    <mergeCell ref="H108:I108"/>
    <mergeCell ref="H107:I107"/>
    <mergeCell ref="I73:I78"/>
    <mergeCell ref="I79:I81"/>
    <mergeCell ref="H96:I96"/>
    <mergeCell ref="H97:I97"/>
    <mergeCell ref="H98:I98"/>
    <mergeCell ref="I40:I42"/>
    <mergeCell ref="I24:I26"/>
    <mergeCell ref="I43:I47"/>
    <mergeCell ref="I48:I51"/>
    <mergeCell ref="I52:I57"/>
    <mergeCell ref="H67:H72"/>
    <mergeCell ref="H93:I93"/>
    <mergeCell ref="H94:I94"/>
    <mergeCell ref="I58:I60"/>
    <mergeCell ref="I61:I66"/>
    <mergeCell ref="I67:I72"/>
    <mergeCell ref="E1:I1"/>
    <mergeCell ref="I3:I10"/>
    <mergeCell ref="I11:I16"/>
    <mergeCell ref="I27:I35"/>
    <mergeCell ref="I36:I39"/>
    <mergeCell ref="H27:H35"/>
    <mergeCell ref="H3:H10"/>
    <mergeCell ref="A52:A57"/>
    <mergeCell ref="B52:B57"/>
    <mergeCell ref="D89:F89"/>
    <mergeCell ref="A88:C92"/>
    <mergeCell ref="D88:H88"/>
    <mergeCell ref="D92:H92"/>
    <mergeCell ref="A67:A72"/>
    <mergeCell ref="B67:B72"/>
    <mergeCell ref="B61:B66"/>
    <mergeCell ref="A61:A66"/>
    <mergeCell ref="A58:A60"/>
    <mergeCell ref="D91:F91"/>
    <mergeCell ref="H61:H66"/>
    <mergeCell ref="A1:B1"/>
    <mergeCell ref="H58:H60"/>
    <mergeCell ref="H52:H57"/>
    <mergeCell ref="H40:H42"/>
    <mergeCell ref="B48:B51"/>
    <mergeCell ref="H36:H39"/>
    <mergeCell ref="A27:A35"/>
    <mergeCell ref="H24:H26"/>
    <mergeCell ref="A24:A26"/>
    <mergeCell ref="A43:A47"/>
    <mergeCell ref="A48:A51"/>
    <mergeCell ref="B36:B39"/>
    <mergeCell ref="B40:B42"/>
    <mergeCell ref="A40:A42"/>
    <mergeCell ref="A36:A39"/>
    <mergeCell ref="B24:B26"/>
    <mergeCell ref="A93:B94"/>
    <mergeCell ref="B58:B60"/>
    <mergeCell ref="C94:E94"/>
    <mergeCell ref="D90:F90"/>
    <mergeCell ref="C93:E93"/>
    <mergeCell ref="A17:A23"/>
    <mergeCell ref="B3:B10"/>
    <mergeCell ref="A3:A10"/>
    <mergeCell ref="H79:H81"/>
    <mergeCell ref="B79:B81"/>
    <mergeCell ref="A79:A81"/>
    <mergeCell ref="H73:H78"/>
    <mergeCell ref="B73:B78"/>
    <mergeCell ref="A73:A78"/>
    <mergeCell ref="B11:B16"/>
    <mergeCell ref="H11:H16"/>
    <mergeCell ref="A11:A16"/>
    <mergeCell ref="B27:B35"/>
    <mergeCell ref="H43:H47"/>
    <mergeCell ref="B43:B47"/>
    <mergeCell ref="H48:H51"/>
  </mergeCells>
  <phoneticPr fontId="3" type="noConversion"/>
  <pageMargins left="0.75" right="0.75" top="1" bottom="1" header="0.5" footer="0.5"/>
  <pageSetup orientation="portrait" r:id="rId2"/>
  <headerFooter alignWithMargins="0"/>
  <ignoredErrors>
    <ignoredError sqref="G61" formulaRange="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J270"/>
  <sheetViews>
    <sheetView topLeftCell="A103" zoomScaleNormal="100" workbookViewId="0">
      <selection activeCell="G130" sqref="G130"/>
    </sheetView>
  </sheetViews>
  <sheetFormatPr defaultColWidth="9.33203125" defaultRowHeight="16.5" x14ac:dyDescent="0.2"/>
  <cols>
    <col min="1" max="1" width="5.83203125" style="27" customWidth="1"/>
    <col min="2" max="2" width="18.83203125" style="21" customWidth="1"/>
    <col min="3" max="3" width="75.83203125" style="21" customWidth="1"/>
    <col min="4" max="4" width="7.83203125" style="23" customWidth="1"/>
    <col min="5" max="5" width="7.83203125" style="48" customWidth="1"/>
    <col min="6" max="6" width="7.83203125" style="23" customWidth="1"/>
    <col min="7" max="7" width="9.1640625" style="577" customWidth="1"/>
    <col min="8" max="8" width="64.83203125" style="2" customWidth="1"/>
    <col min="9" max="9" width="9.83203125" style="2" customWidth="1"/>
    <col min="10" max="10" width="9.33203125" style="58"/>
    <col min="11" max="16384" width="9.33203125" style="20"/>
  </cols>
  <sheetData>
    <row r="1" spans="1:10" s="1419" customFormat="1" ht="54" customHeight="1" thickBot="1" x14ac:dyDescent="0.25">
      <c r="A1" s="2162" t="s">
        <v>1317</v>
      </c>
      <c r="B1" s="2163"/>
      <c r="C1" s="1407" t="s">
        <v>1085</v>
      </c>
      <c r="D1" s="1455" t="s">
        <v>1074</v>
      </c>
      <c r="E1" s="1929"/>
      <c r="F1" s="1930"/>
      <c r="G1" s="1930"/>
      <c r="H1" s="1930"/>
      <c r="I1" s="1930"/>
      <c r="J1" s="246"/>
    </row>
    <row r="2" spans="1:10" s="58" customFormat="1" ht="36" customHeight="1" thickBot="1" x14ac:dyDescent="0.25">
      <c r="A2" s="861" t="s">
        <v>88</v>
      </c>
      <c r="B2" s="833" t="s">
        <v>1424</v>
      </c>
      <c r="C2" s="862" t="s">
        <v>1164</v>
      </c>
      <c r="D2" s="833" t="s">
        <v>45</v>
      </c>
      <c r="E2" s="904" t="s">
        <v>1188</v>
      </c>
      <c r="F2" s="905" t="s">
        <v>1189</v>
      </c>
      <c r="G2" s="906" t="s">
        <v>2558</v>
      </c>
      <c r="H2" s="833" t="s">
        <v>1117</v>
      </c>
      <c r="I2" s="895" t="s">
        <v>2427</v>
      </c>
    </row>
    <row r="3" spans="1:10" ht="30" customHeight="1" thickBot="1" x14ac:dyDescent="0.25">
      <c r="A3" s="2134" t="str">
        <f>OF!A9</f>
        <v>OF2</v>
      </c>
      <c r="B3" s="2069" t="str">
        <f>OF!B9</f>
        <v xml:space="preserve">Ponded Area Within 1 km.  </v>
      </c>
      <c r="C3" s="92" t="str">
        <f>OF!C9</f>
        <v>The area of surface water ponded during most of the growing season that is both (1) in or adjacent to the AA and (2) within 1 km is:</v>
      </c>
      <c r="D3" s="512"/>
      <c r="E3" s="126"/>
      <c r="F3" s="100"/>
      <c r="G3" s="564">
        <f>MAX(F4:F9)/MAX(E4:E9)</f>
        <v>0</v>
      </c>
      <c r="H3" s="1669" t="s">
        <v>1626</v>
      </c>
      <c r="I3" s="1669" t="s">
        <v>308</v>
      </c>
    </row>
    <row r="4" spans="1:10" ht="15" customHeight="1" x14ac:dyDescent="0.2">
      <c r="A4" s="2135"/>
      <c r="B4" s="2070"/>
      <c r="C4" s="83" t="str">
        <f>OF!C10</f>
        <v>&lt;0.01 hectare (about 10 m x 10 m).</v>
      </c>
      <c r="D4" s="22">
        <f>OF!D10</f>
        <v>0</v>
      </c>
      <c r="E4" s="496">
        <v>0</v>
      </c>
      <c r="F4" s="40">
        <f t="shared" ref="F4:F9" si="0">D4*E4</f>
        <v>0</v>
      </c>
      <c r="G4" s="574"/>
      <c r="H4" s="1670"/>
      <c r="I4" s="1670"/>
    </row>
    <row r="5" spans="1:10" ht="15" customHeight="1" x14ac:dyDescent="0.2">
      <c r="A5" s="2135"/>
      <c r="B5" s="2070"/>
      <c r="C5" s="477" t="str">
        <f>OF!C11</f>
        <v>0.01 - 0.1 hectare.</v>
      </c>
      <c r="D5" s="22">
        <f>OF!D11</f>
        <v>0</v>
      </c>
      <c r="E5" s="496">
        <v>1</v>
      </c>
      <c r="F5" s="40">
        <f t="shared" si="0"/>
        <v>0</v>
      </c>
      <c r="G5" s="575"/>
      <c r="H5" s="1670"/>
      <c r="I5" s="1670"/>
    </row>
    <row r="6" spans="1:10" ht="15" customHeight="1" x14ac:dyDescent="0.2">
      <c r="A6" s="2135"/>
      <c r="B6" s="2070"/>
      <c r="C6" s="477" t="str">
        <f>OF!C12</f>
        <v>0.1 - 1 hectare.</v>
      </c>
      <c r="D6" s="22">
        <f>OF!D12</f>
        <v>0</v>
      </c>
      <c r="E6" s="496">
        <v>2</v>
      </c>
      <c r="F6" s="40">
        <f t="shared" si="0"/>
        <v>0</v>
      </c>
      <c r="G6" s="575"/>
      <c r="H6" s="1670"/>
      <c r="I6" s="1670"/>
    </row>
    <row r="7" spans="1:10" ht="15" customHeight="1" x14ac:dyDescent="0.2">
      <c r="A7" s="2135"/>
      <c r="B7" s="2070"/>
      <c r="C7" s="477" t="str">
        <f>OF!C13</f>
        <v>1 to 10 hectares.</v>
      </c>
      <c r="D7" s="22">
        <f>OF!D13</f>
        <v>0</v>
      </c>
      <c r="E7" s="496">
        <v>3</v>
      </c>
      <c r="F7" s="40">
        <f t="shared" si="0"/>
        <v>0</v>
      </c>
      <c r="G7" s="575"/>
      <c r="H7" s="1670"/>
      <c r="I7" s="1670"/>
    </row>
    <row r="8" spans="1:10" ht="15" customHeight="1" x14ac:dyDescent="0.2">
      <c r="A8" s="2135"/>
      <c r="B8" s="2070"/>
      <c r="C8" s="477" t="str">
        <f>OF!C14</f>
        <v>10 to 100 hectares.</v>
      </c>
      <c r="D8" s="22">
        <f>OF!D14</f>
        <v>0</v>
      </c>
      <c r="E8" s="496">
        <v>5</v>
      </c>
      <c r="F8" s="40">
        <f t="shared" si="0"/>
        <v>0</v>
      </c>
      <c r="G8" s="575"/>
      <c r="H8" s="1670"/>
      <c r="I8" s="1670"/>
    </row>
    <row r="9" spans="1:10" ht="15.6" customHeight="1" thickBot="1" x14ac:dyDescent="0.25">
      <c r="A9" s="2136"/>
      <c r="B9" s="2071"/>
      <c r="C9" s="478" t="str">
        <f>OF!C15</f>
        <v>&gt;100 hectares.</v>
      </c>
      <c r="D9" s="97">
        <f>OF!D15</f>
        <v>0</v>
      </c>
      <c r="E9" s="585">
        <v>7</v>
      </c>
      <c r="F9" s="98">
        <f t="shared" si="0"/>
        <v>0</v>
      </c>
      <c r="G9" s="728"/>
      <c r="H9" s="1671"/>
      <c r="I9" s="1671"/>
    </row>
    <row r="10" spans="1:10" ht="36" customHeight="1" thickBot="1" x14ac:dyDescent="0.25">
      <c r="A10" s="2070" t="str">
        <f>OF!A23</f>
        <v>OF4</v>
      </c>
      <c r="B10" s="2070" t="str">
        <f>OF!B23</f>
        <v xml:space="preserve">Size of Largest Nearby Vegetated Tract or Corridor </v>
      </c>
      <c r="C10" s="742" t="str">
        <f>OF!C23</f>
        <v>The largest vegetated patch or corridor that includes the AA's vegetation plus all adjacent upland vegetation that is not lawn, row crops, heavily grazed lands, conifer plantation is:</v>
      </c>
      <c r="D10" s="509"/>
      <c r="E10" s="496"/>
      <c r="F10" s="46"/>
      <c r="G10" s="701">
        <f>MAX(F11:F17)/MAX(E11:E17)</f>
        <v>0</v>
      </c>
      <c r="H10" s="1925" t="s">
        <v>2380</v>
      </c>
      <c r="I10" s="1669" t="s">
        <v>2876</v>
      </c>
    </row>
    <row r="11" spans="1:10" ht="15" customHeight="1" x14ac:dyDescent="0.2">
      <c r="A11" s="2070"/>
      <c r="B11" s="2070"/>
      <c r="C11" s="727" t="str">
        <f>OF!C24</f>
        <v>&lt;0.01 hectare (about 10 m x 10 m).</v>
      </c>
      <c r="D11" s="659">
        <f>OF!D24</f>
        <v>0</v>
      </c>
      <c r="E11" s="496">
        <v>0</v>
      </c>
      <c r="F11" s="40">
        <f t="shared" ref="F11:F17" si="1">D11*E11</f>
        <v>0</v>
      </c>
      <c r="G11" s="574"/>
      <c r="H11" s="1925"/>
      <c r="I11" s="1670"/>
    </row>
    <row r="12" spans="1:10" ht="15" customHeight="1" x14ac:dyDescent="0.2">
      <c r="A12" s="2070"/>
      <c r="B12" s="2070"/>
      <c r="C12" s="662" t="str">
        <f>OF!C25</f>
        <v>0.01 - 0.1 hectare.</v>
      </c>
      <c r="D12" s="769">
        <f>OF!D25</f>
        <v>0</v>
      </c>
      <c r="E12" s="496">
        <v>1</v>
      </c>
      <c r="F12" s="40">
        <f t="shared" si="1"/>
        <v>0</v>
      </c>
      <c r="G12" s="575"/>
      <c r="H12" s="1925"/>
      <c r="I12" s="1670"/>
    </row>
    <row r="13" spans="1:10" ht="15" customHeight="1" x14ac:dyDescent="0.2">
      <c r="A13" s="2070"/>
      <c r="B13" s="2070"/>
      <c r="C13" s="662" t="str">
        <f>OF!C26</f>
        <v>0.1 - 1 hectare.</v>
      </c>
      <c r="D13" s="769">
        <f>OF!D26</f>
        <v>0</v>
      </c>
      <c r="E13" s="496">
        <v>2</v>
      </c>
      <c r="F13" s="40">
        <f t="shared" si="1"/>
        <v>0</v>
      </c>
      <c r="G13" s="575"/>
      <c r="H13" s="1925"/>
      <c r="I13" s="1670"/>
    </row>
    <row r="14" spans="1:10" ht="15" customHeight="1" x14ac:dyDescent="0.2">
      <c r="A14" s="2070"/>
      <c r="B14" s="2070"/>
      <c r="C14" s="662" t="str">
        <f>OF!C27</f>
        <v>1 to 10 hectares.</v>
      </c>
      <c r="D14" s="769">
        <f>OF!D27</f>
        <v>0</v>
      </c>
      <c r="E14" s="496">
        <v>3</v>
      </c>
      <c r="F14" s="40">
        <f t="shared" si="1"/>
        <v>0</v>
      </c>
      <c r="G14" s="575"/>
      <c r="H14" s="1925"/>
      <c r="I14" s="1670"/>
    </row>
    <row r="15" spans="1:10" ht="15" customHeight="1" x14ac:dyDescent="0.2">
      <c r="A15" s="2070"/>
      <c r="B15" s="2070"/>
      <c r="C15" s="662" t="str">
        <f>OF!C28</f>
        <v>10 to 100 hectares.</v>
      </c>
      <c r="D15" s="769">
        <f>OF!D28</f>
        <v>0</v>
      </c>
      <c r="E15" s="496">
        <v>5</v>
      </c>
      <c r="F15" s="40">
        <f t="shared" si="1"/>
        <v>0</v>
      </c>
      <c r="G15" s="575"/>
      <c r="H15" s="1925"/>
      <c r="I15" s="1670"/>
    </row>
    <row r="16" spans="1:10" ht="15" customHeight="1" x14ac:dyDescent="0.2">
      <c r="A16" s="2070"/>
      <c r="B16" s="2070"/>
      <c r="C16" s="662" t="str">
        <f>OF!C29</f>
        <v>100 to 1000 hectares.</v>
      </c>
      <c r="D16" s="769">
        <f>OF!D29</f>
        <v>0</v>
      </c>
      <c r="E16" s="96">
        <v>6</v>
      </c>
      <c r="F16" s="498">
        <f t="shared" si="1"/>
        <v>0</v>
      </c>
      <c r="G16" s="661"/>
      <c r="H16" s="1925"/>
      <c r="I16" s="1670"/>
    </row>
    <row r="17" spans="1:10" ht="15" customHeight="1" thickBot="1" x14ac:dyDescent="0.25">
      <c r="A17" s="2071"/>
      <c r="B17" s="2071"/>
      <c r="C17" s="663" t="str">
        <f>OF!C30</f>
        <v>&gt;1000 hectares. [This is nearly always the answer in relatively undeveloped landscapes.]</v>
      </c>
      <c r="D17" s="770">
        <f>OF!D30</f>
        <v>0</v>
      </c>
      <c r="E17" s="98">
        <v>8</v>
      </c>
      <c r="F17" s="98">
        <f t="shared" si="1"/>
        <v>0</v>
      </c>
      <c r="G17" s="507"/>
      <c r="H17" s="1936"/>
      <c r="I17" s="1671"/>
    </row>
    <row r="18" spans="1:10" ht="30" customHeight="1" thickBot="1" x14ac:dyDescent="0.25">
      <c r="A18" s="2069" t="str">
        <f>OF!A31</f>
        <v>OF5</v>
      </c>
      <c r="B18" s="2069" t="str">
        <f>OF!B31</f>
        <v>Distance to Large Vegetated Tract</v>
      </c>
      <c r="C18" s="742" t="str">
        <f>OF!C31</f>
        <v>The minimum distance from the edge of the AA to the edge of the closest vegetated land (but excluding row crops, lawn, conifer plantation) larger than 375 hectares (about 2 km on a side), is:</v>
      </c>
      <c r="D18" s="512"/>
      <c r="E18" s="126"/>
      <c r="F18" s="100"/>
      <c r="G18" s="564">
        <f>MAX(F19:F25)/MAX(E19:E25)</f>
        <v>0</v>
      </c>
      <c r="H18" s="1856" t="s">
        <v>1318</v>
      </c>
      <c r="I18" s="1669" t="s">
        <v>1319</v>
      </c>
    </row>
    <row r="19" spans="1:10" ht="42" customHeight="1" x14ac:dyDescent="0.2">
      <c r="A19" s="2070"/>
      <c r="B19" s="2070"/>
      <c r="C19" s="727" t="str">
        <f>OF!C32</f>
        <v>&lt;50 m, and not separated from the 375-ha vegetated area by any width of paved roads, stretches of open water, row crops, bare ground, lawn, or impervious surface. Or the AA itself contains &gt;375 ha of vegetation. [This is often the answer in relatively undeveloped landscapes.]</v>
      </c>
      <c r="D19" s="659">
        <f>OF!D32</f>
        <v>0</v>
      </c>
      <c r="E19" s="496">
        <v>6</v>
      </c>
      <c r="F19" s="40">
        <f t="shared" ref="F19:F25" si="2">D19*E19</f>
        <v>0</v>
      </c>
      <c r="G19" s="574"/>
      <c r="H19" s="1925"/>
      <c r="I19" s="1670"/>
    </row>
    <row r="20" spans="1:10" ht="27" customHeight="1" x14ac:dyDescent="0.2">
      <c r="A20" s="2070"/>
      <c r="B20" s="2070"/>
      <c r="C20" s="662" t="str">
        <f>OF!C33</f>
        <v>&lt;50 m, but completely separated from the 375-ha vegetated area by those features, and AA does not contain &gt;375 ha of vegetation.</v>
      </c>
      <c r="D20" s="769">
        <f>OF!D33</f>
        <v>0</v>
      </c>
      <c r="E20" s="496">
        <v>5</v>
      </c>
      <c r="F20" s="40">
        <f t="shared" si="2"/>
        <v>0</v>
      </c>
      <c r="G20" s="575"/>
      <c r="H20" s="1925"/>
      <c r="I20" s="1670"/>
    </row>
    <row r="21" spans="1:10" ht="15" customHeight="1" x14ac:dyDescent="0.2">
      <c r="A21" s="2070"/>
      <c r="B21" s="2070"/>
      <c r="C21" s="662" t="str">
        <f>OF!C34</f>
        <v>50-500 m, and not separated.</v>
      </c>
      <c r="D21" s="769">
        <f>OF!D34</f>
        <v>0</v>
      </c>
      <c r="E21" s="496">
        <v>4</v>
      </c>
      <c r="F21" s="40">
        <f t="shared" si="2"/>
        <v>0</v>
      </c>
      <c r="G21" s="575"/>
      <c r="H21" s="1925"/>
      <c r="I21" s="1670"/>
    </row>
    <row r="22" spans="1:10" ht="15" customHeight="1" x14ac:dyDescent="0.2">
      <c r="A22" s="2070"/>
      <c r="B22" s="2070"/>
      <c r="C22" s="662" t="str">
        <f>OF!C35</f>
        <v>50-500 m, but separated by those features.</v>
      </c>
      <c r="D22" s="769">
        <f>OF!D35</f>
        <v>0</v>
      </c>
      <c r="E22" s="496">
        <v>3</v>
      </c>
      <c r="F22" s="40">
        <f t="shared" si="2"/>
        <v>0</v>
      </c>
      <c r="G22" s="575"/>
      <c r="H22" s="1925"/>
      <c r="I22" s="1670"/>
    </row>
    <row r="23" spans="1:10" ht="15" customHeight="1" x14ac:dyDescent="0.2">
      <c r="A23" s="2070"/>
      <c r="B23" s="2070"/>
      <c r="C23" s="662" t="str">
        <f>OF!C36</f>
        <v>0.5 - 5 km, and not separated.</v>
      </c>
      <c r="D23" s="769">
        <f>OF!D36</f>
        <v>0</v>
      </c>
      <c r="E23" s="496">
        <v>2</v>
      </c>
      <c r="F23" s="40">
        <f t="shared" si="2"/>
        <v>0</v>
      </c>
      <c r="G23" s="575"/>
      <c r="H23" s="1925"/>
      <c r="I23" s="1670"/>
    </row>
    <row r="24" spans="1:10" ht="15" customHeight="1" x14ac:dyDescent="0.2">
      <c r="A24" s="2070"/>
      <c r="B24" s="2070"/>
      <c r="C24" s="662" t="str">
        <f>OF!C37</f>
        <v>0.5 - 5 km, but separated by those features.</v>
      </c>
      <c r="D24" s="769">
        <f>OF!D37</f>
        <v>0</v>
      </c>
      <c r="E24" s="40">
        <v>1</v>
      </c>
      <c r="F24" s="40">
        <f t="shared" si="2"/>
        <v>0</v>
      </c>
      <c r="G24" s="566"/>
      <c r="H24" s="1925"/>
      <c r="I24" s="1670"/>
    </row>
    <row r="25" spans="1:10" ht="15" customHeight="1" thickBot="1" x14ac:dyDescent="0.25">
      <c r="A25" s="2071"/>
      <c r="B25" s="2071"/>
      <c r="C25" s="663" t="str">
        <f>OF!C38</f>
        <v>None of the above (the closest patches or corridors which are that large are &gt;5 km away).</v>
      </c>
      <c r="D25" s="770">
        <f>OF!D38</f>
        <v>0</v>
      </c>
      <c r="E25" s="98">
        <v>0</v>
      </c>
      <c r="F25" s="98">
        <f t="shared" si="2"/>
        <v>0</v>
      </c>
      <c r="G25" s="507"/>
      <c r="H25" s="1936"/>
      <c r="I25" s="1671"/>
    </row>
    <row r="26" spans="1:10" ht="45" customHeight="1" thickBot="1" x14ac:dyDescent="0.25">
      <c r="A26" s="2061" t="str">
        <f>OF!A41</f>
        <v>OF8</v>
      </c>
      <c r="B26" s="2137" t="str">
        <f>OF!B41</f>
        <v>Local Vegetated Cover Percentage</v>
      </c>
      <c r="C26" s="92" t="str">
        <f>OF!C41</f>
        <v>Draw a 5-km radius circle measured from the center of the AA.  Ignoring all permanent water in the circle, the percent of the remaining area that is wooded or unmanaged herbaceous vegetation (NOT lawn, row crops, bare or heavily grazed land, clearcuts, or conifer plantations) is:</v>
      </c>
      <c r="D26" s="509"/>
      <c r="E26" s="496"/>
      <c r="F26" s="46"/>
      <c r="G26" s="497">
        <f>MAX(F27:F31)/MAX(E27:E31)</f>
        <v>0</v>
      </c>
      <c r="H26" s="1696" t="s">
        <v>1613</v>
      </c>
      <c r="I26" s="1670" t="s">
        <v>1680</v>
      </c>
    </row>
    <row r="27" spans="1:10" s="584" customFormat="1" ht="15" customHeight="1" x14ac:dyDescent="0.2">
      <c r="A27" s="2061"/>
      <c r="B27" s="2061"/>
      <c r="C27" s="83" t="str">
        <f>OF!C42</f>
        <v xml:space="preserve">&lt;5% of the land. </v>
      </c>
      <c r="D27" s="22">
        <f>OF!D42</f>
        <v>0</v>
      </c>
      <c r="E27" s="589">
        <v>0</v>
      </c>
      <c r="F27" s="40">
        <f>D27*E27</f>
        <v>0</v>
      </c>
      <c r="G27" s="569"/>
      <c r="H27" s="1696"/>
      <c r="I27" s="1670"/>
      <c r="J27" s="583"/>
    </row>
    <row r="28" spans="1:10" s="584" customFormat="1" ht="15" customHeight="1" x14ac:dyDescent="0.2">
      <c r="A28" s="2061"/>
      <c r="B28" s="2061"/>
      <c r="C28" s="477" t="str">
        <f>OF!C43</f>
        <v>5 to 20% of the land.</v>
      </c>
      <c r="D28" s="22">
        <f>OF!D43</f>
        <v>0</v>
      </c>
      <c r="E28" s="589">
        <v>1</v>
      </c>
      <c r="F28" s="40">
        <f>D28*E28</f>
        <v>0</v>
      </c>
      <c r="G28" s="570"/>
      <c r="H28" s="1696"/>
      <c r="I28" s="1670"/>
      <c r="J28" s="583"/>
    </row>
    <row r="29" spans="1:10" s="584" customFormat="1" ht="15" customHeight="1" x14ac:dyDescent="0.2">
      <c r="A29" s="2061"/>
      <c r="B29" s="2061"/>
      <c r="C29" s="477" t="str">
        <f>OF!C44</f>
        <v>20 to 60% of the land.</v>
      </c>
      <c r="D29" s="804">
        <f>OF!D44</f>
        <v>0</v>
      </c>
      <c r="E29" s="589">
        <v>2</v>
      </c>
      <c r="F29" s="40">
        <f>D29*E29</f>
        <v>0</v>
      </c>
      <c r="G29" s="570"/>
      <c r="H29" s="1696"/>
      <c r="I29" s="1670"/>
      <c r="J29" s="583"/>
    </row>
    <row r="30" spans="1:10" s="584" customFormat="1" ht="15" customHeight="1" x14ac:dyDescent="0.2">
      <c r="A30" s="2061"/>
      <c r="B30" s="2061"/>
      <c r="C30" s="477" t="str">
        <f>OF!C45</f>
        <v>60 to 90% of the land.</v>
      </c>
      <c r="D30" s="42">
        <f>OF!D45</f>
        <v>0</v>
      </c>
      <c r="E30" s="589">
        <v>3</v>
      </c>
      <c r="F30" s="40">
        <f>D30*E30</f>
        <v>0</v>
      </c>
      <c r="G30" s="570"/>
      <c r="H30" s="1696"/>
      <c r="I30" s="1670"/>
      <c r="J30" s="583"/>
    </row>
    <row r="31" spans="1:10" s="584" customFormat="1" ht="15" customHeight="1" thickBot="1" x14ac:dyDescent="0.25">
      <c r="A31" s="2061"/>
      <c r="B31" s="2062"/>
      <c r="C31" s="726" t="str">
        <f>OF!C46</f>
        <v>&gt;90% of the land. SKIP to OF10.</v>
      </c>
      <c r="D31" s="97">
        <f>OF!D46</f>
        <v>0</v>
      </c>
      <c r="E31" s="589">
        <v>4</v>
      </c>
      <c r="F31" s="40">
        <f>D31*E31</f>
        <v>0</v>
      </c>
      <c r="G31" s="570"/>
      <c r="H31" s="1696"/>
      <c r="I31" s="1671"/>
      <c r="J31" s="583"/>
    </row>
    <row r="32" spans="1:10" ht="21" customHeight="1" thickBot="1" x14ac:dyDescent="0.25">
      <c r="A32" s="2145" t="str">
        <f>OF!A50</f>
        <v>OF10</v>
      </c>
      <c r="B32" s="2069" t="str">
        <f>OF!B50</f>
        <v>Distance by Road to Nearest Population Center</v>
      </c>
      <c r="C32" s="476" t="str">
        <f>OF!C50</f>
        <v>Measured along the maintained road nearest the AA, the distance to the nearest population center is:</v>
      </c>
      <c r="D32" s="126"/>
      <c r="E32" s="126"/>
      <c r="F32" s="100"/>
      <c r="G32" s="511">
        <f>MAX(F33:F37)/MAX(E33:E37)</f>
        <v>0</v>
      </c>
      <c r="H32" s="1669" t="s">
        <v>1107</v>
      </c>
      <c r="I32" s="1669" t="s">
        <v>301</v>
      </c>
    </row>
    <row r="33" spans="1:9" ht="15" customHeight="1" x14ac:dyDescent="0.2">
      <c r="A33" s="2054"/>
      <c r="B33" s="2070"/>
      <c r="C33" s="83" t="str">
        <f>OF!C51</f>
        <v>&lt;100 m.</v>
      </c>
      <c r="D33" s="49">
        <f>OF!D51</f>
        <v>0</v>
      </c>
      <c r="E33" s="40">
        <v>0</v>
      </c>
      <c r="F33" s="498">
        <f>D33*E33</f>
        <v>0</v>
      </c>
      <c r="G33" s="569"/>
      <c r="H33" s="1670"/>
      <c r="I33" s="1670"/>
    </row>
    <row r="34" spans="1:9" ht="15" customHeight="1" x14ac:dyDescent="0.2">
      <c r="A34" s="2054"/>
      <c r="B34" s="2070"/>
      <c r="C34" s="477" t="str">
        <f>OF!C52</f>
        <v>100 - 500 m.</v>
      </c>
      <c r="D34" s="22">
        <f>OF!D52</f>
        <v>0</v>
      </c>
      <c r="E34" s="40">
        <v>2</v>
      </c>
      <c r="F34" s="498">
        <f>D34*E34</f>
        <v>0</v>
      </c>
      <c r="G34" s="570"/>
      <c r="H34" s="1670"/>
      <c r="I34" s="1670"/>
    </row>
    <row r="35" spans="1:9" ht="15" customHeight="1" x14ac:dyDescent="0.2">
      <c r="A35" s="2054"/>
      <c r="B35" s="2070"/>
      <c r="C35" s="477" t="str">
        <f>OF!C53</f>
        <v>0.5- 1 km.</v>
      </c>
      <c r="D35" s="22">
        <f>OF!D53</f>
        <v>0</v>
      </c>
      <c r="E35" s="40">
        <v>3</v>
      </c>
      <c r="F35" s="498">
        <f>D35*E35</f>
        <v>0</v>
      </c>
      <c r="G35" s="570"/>
      <c r="H35" s="1670"/>
      <c r="I35" s="1670"/>
    </row>
    <row r="36" spans="1:9" ht="15" customHeight="1" x14ac:dyDescent="0.2">
      <c r="A36" s="2054"/>
      <c r="B36" s="2070"/>
      <c r="C36" s="477" t="str">
        <f>OF!C54</f>
        <v>1 - 5 km.</v>
      </c>
      <c r="D36" s="22">
        <f>OF!D54</f>
        <v>0</v>
      </c>
      <c r="E36" s="40">
        <v>4</v>
      </c>
      <c r="F36" s="498">
        <f>D36*E36</f>
        <v>0</v>
      </c>
      <c r="G36" s="570"/>
      <c r="H36" s="1670"/>
      <c r="I36" s="1670"/>
    </row>
    <row r="37" spans="1:9" ht="15" customHeight="1" thickBot="1" x14ac:dyDescent="0.25">
      <c r="A37" s="2055"/>
      <c r="B37" s="2071"/>
      <c r="C37" s="478" t="str">
        <f>OF!C55</f>
        <v>&gt;5 km.</v>
      </c>
      <c r="D37" s="97">
        <f>OF!D55</f>
        <v>0</v>
      </c>
      <c r="E37" s="98">
        <v>6</v>
      </c>
      <c r="F37" s="98">
        <f>D37*E37</f>
        <v>0</v>
      </c>
      <c r="G37" s="508"/>
      <c r="H37" s="1671"/>
      <c r="I37" s="1671"/>
    </row>
    <row r="38" spans="1:9" ht="21" customHeight="1" thickBot="1" x14ac:dyDescent="0.25">
      <c r="A38" s="2164" t="str">
        <f>OF!A56</f>
        <v>OF11</v>
      </c>
      <c r="B38" s="2168" t="str">
        <f>OF!B56</f>
        <v>Distance to Nearest Maintained Road</v>
      </c>
      <c r="C38" s="92" t="str">
        <f>OF!C56</f>
        <v>From the center of the AA, the distance to the nearest maintained public road (dirt or paved) is:</v>
      </c>
      <c r="D38" s="126"/>
      <c r="E38" s="496"/>
      <c r="F38" s="46"/>
      <c r="G38" s="497">
        <f>MAX(F39:F44)/MAX(E39:E44)</f>
        <v>0</v>
      </c>
      <c r="H38" s="1937" t="s">
        <v>468</v>
      </c>
      <c r="I38" s="1669" t="s">
        <v>302</v>
      </c>
    </row>
    <row r="39" spans="1:9" ht="15" customHeight="1" x14ac:dyDescent="0.2">
      <c r="A39" s="2165"/>
      <c r="B39" s="2147"/>
      <c r="C39" s="83" t="str">
        <f>OF!C57</f>
        <v>&lt;10 m.</v>
      </c>
      <c r="D39" s="49">
        <f>OF!D57</f>
        <v>0</v>
      </c>
      <c r="E39" s="40">
        <v>0</v>
      </c>
      <c r="F39" s="40">
        <f t="shared" ref="F39:F44" si="3">D39*E39</f>
        <v>0</v>
      </c>
      <c r="G39" s="569"/>
      <c r="H39" s="1938"/>
      <c r="I39" s="1670"/>
    </row>
    <row r="40" spans="1:9" ht="15" customHeight="1" x14ac:dyDescent="0.2">
      <c r="A40" s="2165"/>
      <c r="B40" s="2147"/>
      <c r="C40" s="477" t="str">
        <f>OF!C58</f>
        <v>10 - 25 m.</v>
      </c>
      <c r="D40" s="22">
        <f>OF!D58</f>
        <v>0</v>
      </c>
      <c r="E40" s="40">
        <v>4</v>
      </c>
      <c r="F40" s="40">
        <f t="shared" si="3"/>
        <v>0</v>
      </c>
      <c r="G40" s="570"/>
      <c r="H40" s="1938"/>
      <c r="I40" s="1670"/>
    </row>
    <row r="41" spans="1:9" ht="15" customHeight="1" x14ac:dyDescent="0.2">
      <c r="A41" s="2165"/>
      <c r="B41" s="2147"/>
      <c r="C41" s="477" t="str">
        <f>OF!C59</f>
        <v>25 - 50 m.</v>
      </c>
      <c r="D41" s="22">
        <f>OF!D59</f>
        <v>0</v>
      </c>
      <c r="E41" s="40">
        <v>5</v>
      </c>
      <c r="F41" s="40">
        <f t="shared" si="3"/>
        <v>0</v>
      </c>
      <c r="G41" s="570"/>
      <c r="H41" s="1938"/>
      <c r="I41" s="1670"/>
    </row>
    <row r="42" spans="1:9" ht="15" customHeight="1" x14ac:dyDescent="0.2">
      <c r="A42" s="2165"/>
      <c r="B42" s="2147"/>
      <c r="C42" s="477" t="str">
        <f>OF!C60</f>
        <v>50 - 100 m.</v>
      </c>
      <c r="D42" s="22">
        <f>OF!D60</f>
        <v>0</v>
      </c>
      <c r="E42" s="40">
        <v>5</v>
      </c>
      <c r="F42" s="40">
        <f t="shared" si="3"/>
        <v>0</v>
      </c>
      <c r="G42" s="570"/>
      <c r="H42" s="1938"/>
      <c r="I42" s="1670"/>
    </row>
    <row r="43" spans="1:9" ht="15" customHeight="1" x14ac:dyDescent="0.2">
      <c r="A43" s="2165"/>
      <c r="B43" s="2147"/>
      <c r="C43" s="477" t="str">
        <f>OF!C61</f>
        <v>100 - 500 m.</v>
      </c>
      <c r="D43" s="22">
        <f>OF!D61</f>
        <v>0</v>
      </c>
      <c r="E43" s="40">
        <v>5</v>
      </c>
      <c r="F43" s="40">
        <f t="shared" si="3"/>
        <v>0</v>
      </c>
      <c r="G43" s="570"/>
      <c r="H43" s="1938"/>
      <c r="I43" s="1670"/>
    </row>
    <row r="44" spans="1:9" ht="15" customHeight="1" thickBot="1" x14ac:dyDescent="0.25">
      <c r="A44" s="2166"/>
      <c r="B44" s="2169"/>
      <c r="C44" s="484" t="str">
        <f>OF!C62</f>
        <v>&gt;500 m.</v>
      </c>
      <c r="D44" s="42">
        <f>OF!D62</f>
        <v>0</v>
      </c>
      <c r="E44" s="498">
        <v>6</v>
      </c>
      <c r="F44" s="498">
        <f t="shared" si="3"/>
        <v>0</v>
      </c>
      <c r="G44" s="510"/>
      <c r="H44" s="1939"/>
      <c r="I44" s="1671"/>
    </row>
    <row r="45" spans="1:9" ht="30" customHeight="1" thickBot="1" x14ac:dyDescent="0.25">
      <c r="A45" s="2167" t="str">
        <f>OF!A64</f>
        <v>OF13</v>
      </c>
      <c r="B45" s="2137" t="str">
        <f>OF!B64</f>
        <v>Distance to Ponded Water</v>
      </c>
      <c r="C45" s="476" t="str">
        <f>OF!C64</f>
        <v>The distance from the AA center to the closest (but separate) ponded water body visible in GoogleEarth imagery is:</v>
      </c>
      <c r="D45" s="126"/>
      <c r="E45" s="126"/>
      <c r="F45" s="100"/>
      <c r="G45" s="511">
        <f>MAX(F46:F52)/MAX(E46:E52)</f>
        <v>0</v>
      </c>
      <c r="H45" s="1693" t="s">
        <v>448</v>
      </c>
      <c r="I45" s="1669" t="s">
        <v>303</v>
      </c>
    </row>
    <row r="46" spans="1:9" ht="27" customHeight="1" x14ac:dyDescent="0.2">
      <c r="A46" s="2054"/>
      <c r="B46" s="2061"/>
      <c r="C46" s="83" t="str">
        <f>OF!C65</f>
        <v xml:space="preserve">&lt;50 m, and not separated by any width of paved roads, stretches of open water, row crops, lawn, bare ground, or impervious surface. </v>
      </c>
      <c r="D46" s="49">
        <f>OF!D65</f>
        <v>0</v>
      </c>
      <c r="E46" s="40">
        <v>6</v>
      </c>
      <c r="F46" s="40">
        <f t="shared" ref="F46:F52" si="4">D46*E46</f>
        <v>0</v>
      </c>
      <c r="G46" s="569"/>
      <c r="H46" s="1696"/>
      <c r="I46" s="1670"/>
    </row>
    <row r="47" spans="1:9" ht="15" customHeight="1" x14ac:dyDescent="0.2">
      <c r="A47" s="2054"/>
      <c r="B47" s="2061"/>
      <c r="C47" s="83" t="str">
        <f>OF!C66</f>
        <v>&lt;50 m, but completely separated by those features.</v>
      </c>
      <c r="D47" s="49">
        <f>OF!D66</f>
        <v>0</v>
      </c>
      <c r="E47" s="40">
        <v>5</v>
      </c>
      <c r="F47" s="40">
        <f t="shared" si="4"/>
        <v>0</v>
      </c>
      <c r="G47" s="570"/>
      <c r="H47" s="1696"/>
      <c r="I47" s="1670"/>
    </row>
    <row r="48" spans="1:9" ht="15" customHeight="1" x14ac:dyDescent="0.2">
      <c r="A48" s="2054"/>
      <c r="B48" s="2061"/>
      <c r="C48" s="83" t="str">
        <f>OF!C67</f>
        <v>50-500 m, and not separated.</v>
      </c>
      <c r="D48" s="49">
        <f>OF!D67</f>
        <v>0</v>
      </c>
      <c r="E48" s="40">
        <v>4</v>
      </c>
      <c r="F48" s="40">
        <f t="shared" si="4"/>
        <v>0</v>
      </c>
      <c r="G48" s="570"/>
      <c r="H48" s="1696"/>
      <c r="I48" s="1670"/>
    </row>
    <row r="49" spans="1:9" ht="15" customHeight="1" x14ac:dyDescent="0.2">
      <c r="A49" s="2054"/>
      <c r="B49" s="2061"/>
      <c r="C49" s="83" t="str">
        <f>OF!C68</f>
        <v>50-500 m, but separated by those features.</v>
      </c>
      <c r="D49" s="49">
        <f>OF!D68</f>
        <v>0</v>
      </c>
      <c r="E49" s="40">
        <v>3</v>
      </c>
      <c r="F49" s="40">
        <f t="shared" si="4"/>
        <v>0</v>
      </c>
      <c r="G49" s="570"/>
      <c r="H49" s="1696"/>
      <c r="I49" s="1670"/>
    </row>
    <row r="50" spans="1:9" ht="15" customHeight="1" x14ac:dyDescent="0.2">
      <c r="A50" s="2054"/>
      <c r="B50" s="2061"/>
      <c r="C50" s="83" t="str">
        <f>OF!C69</f>
        <v>0.5 - 1 km, and not separated.</v>
      </c>
      <c r="D50" s="49">
        <f>OF!D69</f>
        <v>0</v>
      </c>
      <c r="E50" s="40">
        <v>2</v>
      </c>
      <c r="F50" s="40">
        <f t="shared" si="4"/>
        <v>0</v>
      </c>
      <c r="G50" s="570"/>
      <c r="H50" s="1696"/>
      <c r="I50" s="1670"/>
    </row>
    <row r="51" spans="1:9" ht="15" customHeight="1" x14ac:dyDescent="0.2">
      <c r="A51" s="2054"/>
      <c r="B51" s="2061"/>
      <c r="C51" s="83" t="str">
        <f>OF!C70</f>
        <v>0.5 - 1 km, but separated by those features.</v>
      </c>
      <c r="D51" s="49">
        <f>OF!D70</f>
        <v>0</v>
      </c>
      <c r="E51" s="498">
        <v>1</v>
      </c>
      <c r="F51" s="498">
        <f t="shared" si="4"/>
        <v>0</v>
      </c>
      <c r="G51" s="510"/>
      <c r="H51" s="1696"/>
      <c r="I51" s="1670"/>
    </row>
    <row r="52" spans="1:9" ht="15" customHeight="1" thickBot="1" x14ac:dyDescent="0.25">
      <c r="A52" s="2054"/>
      <c r="B52" s="2061"/>
      <c r="C52" s="107" t="str">
        <f>OF!C71</f>
        <v>None of the above (the closest patches or corridors that large are &gt;1 km away).</v>
      </c>
      <c r="D52" s="804">
        <f>OF!D71</f>
        <v>0</v>
      </c>
      <c r="E52" s="498">
        <v>0</v>
      </c>
      <c r="F52" s="498">
        <f t="shared" si="4"/>
        <v>0</v>
      </c>
      <c r="G52" s="510"/>
      <c r="H52" s="1696"/>
      <c r="I52" s="1670"/>
    </row>
    <row r="53" spans="1:9" ht="45" customHeight="1" thickBot="1" x14ac:dyDescent="0.25">
      <c r="A53" s="1123" t="str">
        <f>OF!A133</f>
        <v>OF27</v>
      </c>
      <c r="B53" s="644" t="str">
        <f>OF!B133</f>
        <v>Growing Degree Days</v>
      </c>
      <c r="C53" s="1459" t="str">
        <f>OF!C133</f>
        <v>In Google Earth, open the KMZ file that accompanies this calculator, called NB-PEI_GrowingDegreeDays. Place your cursor over the AA and left-click. From the pop-up, enter the GRIDCODE in the next column.</v>
      </c>
      <c r="D53" s="1365">
        <f>OF!D133</f>
        <v>0</v>
      </c>
      <c r="E53" s="1129"/>
      <c r="F53" s="350"/>
      <c r="G53" s="253" t="str">
        <f>IF((GrowD&lt;1),"",(GrowD-1305)/1328)</f>
        <v/>
      </c>
      <c r="H53" s="120" t="s">
        <v>1383</v>
      </c>
      <c r="I53" s="120" t="s">
        <v>312</v>
      </c>
    </row>
    <row r="54" spans="1:9" ht="75" customHeight="1" thickBot="1" x14ac:dyDescent="0.25">
      <c r="A54" s="108" t="str">
        <f>OF!A152</f>
        <v>OF37</v>
      </c>
      <c r="B54" s="92" t="str">
        <f>OF!B152</f>
        <v>Calcareous Region</v>
      </c>
      <c r="C54" s="108" t="str">
        <f>OF!C152</f>
        <v xml:space="preserve">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&gt;8).See Figure A-6 in Appendix A of the Manual.  If no map coverage, change to blank.
</v>
      </c>
      <c r="D54" s="686">
        <f>OF!D152</f>
        <v>0</v>
      </c>
      <c r="E54" s="514"/>
      <c r="F54" s="586"/>
      <c r="G54" s="511">
        <f>IF((D54=""),"",D54/3)</f>
        <v>0</v>
      </c>
      <c r="H54" s="3" t="s">
        <v>2913</v>
      </c>
      <c r="I54" s="3" t="s">
        <v>417</v>
      </c>
    </row>
    <row r="55" spans="1:9" ht="60" customHeight="1" thickBot="1" x14ac:dyDescent="0.25">
      <c r="A55" s="92" t="str">
        <f>F!A17</f>
        <v>F3</v>
      </c>
      <c r="B55" s="92" t="str">
        <f>F!B17</f>
        <v>Woody Height &amp; Form Diversity</v>
      </c>
      <c r="C55" s="660" t="str">
        <f>F!C17</f>
        <v>Following EACH row below, indicate with a number code the percentage of the living vegetation in the AA which is occupied by that feature (6 if &gt;95%, 5 if 75-95%, 4 if 50-75%, 3 if 25-50%, 2 if 5-25%, 1 if &lt;5%, 0 if none). If the vegetated part of the AA is largely herbaceous (non-woody) vegetation, these percentages should not sum to 100%.</v>
      </c>
      <c r="D55" s="514"/>
      <c r="E55" s="514"/>
      <c r="F55" s="687"/>
      <c r="G55" s="564">
        <f>COUNTIF(F!D18:D23,"&gt;1")/6</f>
        <v>0</v>
      </c>
      <c r="H55" s="36" t="s">
        <v>1610</v>
      </c>
      <c r="I55" s="3" t="s">
        <v>2875</v>
      </c>
    </row>
    <row r="56" spans="1:9" ht="66.75" customHeight="1" thickBot="1" x14ac:dyDescent="0.25">
      <c r="A56" s="3" t="s">
        <v>1342</v>
      </c>
      <c r="B56" s="645" t="s">
        <v>1335</v>
      </c>
      <c r="D56" s="686">
        <f>MAX(F!D19, F!D21)</f>
        <v>0</v>
      </c>
      <c r="E56" s="496"/>
      <c r="F56" s="45"/>
      <c r="G56" s="564" t="str">
        <f>IF((SUM(F!D18:'F'!D21)=0),"",D56/6)</f>
        <v/>
      </c>
      <c r="H56" s="776" t="s">
        <v>1694</v>
      </c>
      <c r="I56" s="3" t="s">
        <v>1336</v>
      </c>
    </row>
    <row r="57" spans="1:9" ht="30" customHeight="1" thickBot="1" x14ac:dyDescent="0.25">
      <c r="A57" s="2145" t="str">
        <f>F!A25</f>
        <v>F4</v>
      </c>
      <c r="B57" s="2137" t="str">
        <f>F!B25</f>
        <v xml:space="preserve">Dominance of Most Abundant Shrub Species </v>
      </c>
      <c r="C57" s="476" t="str">
        <f>F!C25</f>
        <v>Determine which two woody plant species comprise the greatest portion of the low (&lt;3 m) woody cover . Then choose one:</v>
      </c>
      <c r="D57" s="126"/>
      <c r="E57" s="126"/>
      <c r="F57" s="101"/>
      <c r="G57" s="511" t="str">
        <f>IF((MAX(F!D20:'F'!D21)&lt;2),"",MAX(F58:F59))</f>
        <v/>
      </c>
      <c r="H57" s="1693" t="s">
        <v>1874</v>
      </c>
      <c r="I57" s="1669" t="s">
        <v>2877</v>
      </c>
    </row>
    <row r="58" spans="1:9" ht="15" customHeight="1" x14ac:dyDescent="0.2">
      <c r="A58" s="2054"/>
      <c r="B58" s="2061"/>
      <c r="C58" s="83" t="str">
        <f>F!C26</f>
        <v>those species together comprise &gt; 50% of such cover.</v>
      </c>
      <c r="D58" s="49">
        <f>F!D26</f>
        <v>0</v>
      </c>
      <c r="E58" s="44">
        <v>0</v>
      </c>
      <c r="F58" s="44">
        <f>D58*E58</f>
        <v>0</v>
      </c>
      <c r="G58" s="569"/>
      <c r="H58" s="1696"/>
      <c r="I58" s="1670"/>
    </row>
    <row r="59" spans="1:9" ht="24.75" customHeight="1" thickBot="1" x14ac:dyDescent="0.25">
      <c r="A59" s="2055"/>
      <c r="B59" s="2062"/>
      <c r="C59" s="478" t="str">
        <f>F!C27</f>
        <v>those species together do not comprise &gt; 50% of such cover.</v>
      </c>
      <c r="D59" s="97">
        <f>F!D27</f>
        <v>0</v>
      </c>
      <c r="E59" s="103">
        <v>1</v>
      </c>
      <c r="F59" s="103">
        <f>D59*E59</f>
        <v>0</v>
      </c>
      <c r="G59" s="508"/>
      <c r="H59" s="1712"/>
      <c r="I59" s="1671"/>
    </row>
    <row r="60" spans="1:9" ht="21" customHeight="1" thickBot="1" x14ac:dyDescent="0.25">
      <c r="A60" s="2069" t="str">
        <f>F!A37</f>
        <v>F6</v>
      </c>
      <c r="B60" s="2069" t="str">
        <f>F!B37</f>
        <v>Height Class Interspersion</v>
      </c>
      <c r="C60" s="742" t="str">
        <f>F!C37</f>
        <v>Follow the key below and mark the ONE row that best describes MOST of the AA:</v>
      </c>
      <c r="D60" s="685"/>
      <c r="E60" s="126"/>
      <c r="F60" s="127"/>
      <c r="G60" s="564" t="str">
        <f>IF((MAX(F!D18:'F'!D21)&lt;2),"",MAX(F62:F66)/MAX(E62:E66))</f>
        <v/>
      </c>
      <c r="H60" s="1856" t="s">
        <v>1611</v>
      </c>
      <c r="I60" s="1669" t="s">
        <v>2878</v>
      </c>
    </row>
    <row r="61" spans="1:9" ht="39" thickBot="1" x14ac:dyDescent="0.25">
      <c r="A61" s="2070"/>
      <c r="B61" s="2070"/>
      <c r="C61" s="742" t="str">
        <f>F!C38</f>
        <v xml:space="preserve">A. Neither the vegetation taller than 1 m nor the vegetation shorter than that comprise &gt;70% of the vegetated part of the AA.  They each comprise 30-70%.  Choose between A1 and A2 and mark the choice with a 1 in the adjoining column.  Otherwise go to B below. </v>
      </c>
      <c r="D61" s="589"/>
      <c r="E61" s="509"/>
      <c r="F61" s="105"/>
      <c r="G61" s="575"/>
      <c r="H61" s="1925"/>
      <c r="I61" s="1670"/>
    </row>
    <row r="62" spans="1:9" ht="15" customHeight="1" x14ac:dyDescent="0.2">
      <c r="A62" s="2070"/>
      <c r="B62" s="2070"/>
      <c r="C62" s="727" t="str">
        <f>F!C39</f>
        <v>A1. The two height classes are mostly scattered and intermixed throughout the AA.</v>
      </c>
      <c r="D62" s="49">
        <f>F!D39</f>
        <v>0</v>
      </c>
      <c r="E62" s="683">
        <v>3</v>
      </c>
      <c r="F62" s="44">
        <f>D62*E62</f>
        <v>0</v>
      </c>
      <c r="G62" s="575"/>
      <c r="H62" s="1925"/>
      <c r="I62" s="1670"/>
    </row>
    <row r="63" spans="1:9" ht="27" customHeight="1" thickBot="1" x14ac:dyDescent="0.25">
      <c r="A63" s="2070"/>
      <c r="B63" s="2070"/>
      <c r="C63" s="1456" t="str">
        <f>F!C40</f>
        <v>A2. Not A1.  The two height classes are mostly in separate zones or bands, or in proportionately large clumps.</v>
      </c>
      <c r="D63" s="22">
        <f>F!D40</f>
        <v>0</v>
      </c>
      <c r="E63" s="683">
        <v>2</v>
      </c>
      <c r="F63" s="44">
        <f>D63*E63</f>
        <v>0</v>
      </c>
      <c r="G63" s="575"/>
      <c r="H63" s="1925"/>
      <c r="I63" s="1670"/>
    </row>
    <row r="64" spans="1:9" ht="39" thickBot="1" x14ac:dyDescent="0.25">
      <c r="A64" s="2070"/>
      <c r="B64" s="2070"/>
      <c r="C64" s="742" t="str">
        <f>F!C41</f>
        <v>B. Either the vegetation shorter than 1 m comprises &gt;70% of the vegetated part of the AA, or the vegetation taller than that does.  One size class might even be totally absent.  Choose between B1 and B2 and mark the choice with a 1 in the adjoining column:</v>
      </c>
      <c r="D64" s="683"/>
      <c r="E64" s="683"/>
      <c r="F64" s="44"/>
      <c r="G64" s="575"/>
      <c r="H64" s="1925"/>
      <c r="I64" s="1670"/>
    </row>
    <row r="65" spans="1:9" ht="15" customHeight="1" x14ac:dyDescent="0.2">
      <c r="A65" s="2070"/>
      <c r="B65" s="2070"/>
      <c r="C65" s="727" t="str">
        <f>F!C42</f>
        <v>B1. The less prevalent height class is mostly scattered and intermixed within the prevalent one.</v>
      </c>
      <c r="D65" s="22">
        <f>F!D42</f>
        <v>0</v>
      </c>
      <c r="E65" s="683">
        <v>1</v>
      </c>
      <c r="F65" s="44">
        <f>D65*E65</f>
        <v>0</v>
      </c>
      <c r="G65" s="575"/>
      <c r="H65" s="1925"/>
      <c r="I65" s="1670"/>
    </row>
    <row r="66" spans="1:9" ht="27" customHeight="1" thickBot="1" x14ac:dyDescent="0.25">
      <c r="A66" s="2071"/>
      <c r="B66" s="2071"/>
      <c r="C66" s="663" t="str">
        <f>F!C43</f>
        <v>B2. Not B1.  The less prevalent height class is mostly located apart from the prevalent one, in separate zones or clumps, or is completely absent.</v>
      </c>
      <c r="D66" s="97">
        <f>F!D43</f>
        <v>0</v>
      </c>
      <c r="E66" s="684">
        <v>0</v>
      </c>
      <c r="F66" s="103">
        <f>D66*E66</f>
        <v>0</v>
      </c>
      <c r="G66" s="728"/>
      <c r="H66" s="1936"/>
      <c r="I66" s="1671"/>
    </row>
    <row r="67" spans="1:9" ht="30" customHeight="1" thickBot="1" x14ac:dyDescent="0.25">
      <c r="A67" s="2134" t="str">
        <f>F!A51</f>
        <v>F9</v>
      </c>
      <c r="B67" s="2069" t="str">
        <f>F!B51</f>
        <v>N Fixers</v>
      </c>
      <c r="C67" s="476" t="str">
        <f>F!C51</f>
        <v>The percentage of the AA's vegetated cover that contains nitrogen-fixing plants (e.g., alder, sweetgale, clover, lupine, alfalfa, other legumes) is:</v>
      </c>
      <c r="D67" s="126"/>
      <c r="E67" s="101"/>
      <c r="F67" s="101"/>
      <c r="G67" s="511">
        <f>MAX(F68:F72)/MAX(E68:E72)</f>
        <v>0</v>
      </c>
      <c r="H67" s="1669" t="s">
        <v>1621</v>
      </c>
      <c r="I67" s="1669" t="s">
        <v>306</v>
      </c>
    </row>
    <row r="68" spans="1:9" ht="15" customHeight="1" x14ac:dyDescent="0.2">
      <c r="A68" s="2135"/>
      <c r="B68" s="2070"/>
      <c r="C68" s="83" t="str">
        <f>F!C52</f>
        <v>&lt;1% or none.</v>
      </c>
      <c r="D68" s="49">
        <f>F!D52</f>
        <v>0</v>
      </c>
      <c r="E68" s="44">
        <v>0</v>
      </c>
      <c r="F68" s="44">
        <f>D68*E68</f>
        <v>0</v>
      </c>
      <c r="G68" s="569"/>
      <c r="H68" s="1670"/>
      <c r="I68" s="1670"/>
    </row>
    <row r="69" spans="1:9" ht="15" customHeight="1" x14ac:dyDescent="0.2">
      <c r="A69" s="2135"/>
      <c r="B69" s="2070"/>
      <c r="C69" s="477" t="str">
        <f>F!C53</f>
        <v>1-25% of the vegetated cover, in the AA or along its water edge (whichever has more).</v>
      </c>
      <c r="D69" s="22">
        <f>F!D53</f>
        <v>0</v>
      </c>
      <c r="E69" s="44">
        <v>2</v>
      </c>
      <c r="F69" s="44">
        <f>D69*E69</f>
        <v>0</v>
      </c>
      <c r="G69" s="570"/>
      <c r="H69" s="1670"/>
      <c r="I69" s="1670"/>
    </row>
    <row r="70" spans="1:9" ht="15" customHeight="1" x14ac:dyDescent="0.2">
      <c r="A70" s="2135"/>
      <c r="B70" s="2070"/>
      <c r="C70" s="477" t="str">
        <f>F!C54</f>
        <v>25-50% of the vegetated cover, in the AA or along its water edge (whichever has more).</v>
      </c>
      <c r="D70" s="22">
        <f>F!D54</f>
        <v>0</v>
      </c>
      <c r="E70" s="44">
        <v>3</v>
      </c>
      <c r="F70" s="44">
        <f>D70*E70</f>
        <v>0</v>
      </c>
      <c r="G70" s="570"/>
      <c r="H70" s="1670"/>
      <c r="I70" s="1670"/>
    </row>
    <row r="71" spans="1:9" ht="15" customHeight="1" x14ac:dyDescent="0.2">
      <c r="A71" s="2135"/>
      <c r="B71" s="2070"/>
      <c r="C71" s="477" t="str">
        <f>F!C55</f>
        <v>50-75% of the vegetated cover, in the AA or along its water edge (whichever has more).</v>
      </c>
      <c r="D71" s="22">
        <f>F!D55</f>
        <v>0</v>
      </c>
      <c r="E71" s="44">
        <v>2</v>
      </c>
      <c r="F71" s="44">
        <f>D71*E71</f>
        <v>0</v>
      </c>
      <c r="G71" s="570"/>
      <c r="H71" s="1670"/>
      <c r="I71" s="1670"/>
    </row>
    <row r="72" spans="1:9" ht="15" customHeight="1" thickBot="1" x14ac:dyDescent="0.25">
      <c r="A72" s="2136"/>
      <c r="B72" s="2071"/>
      <c r="C72" s="478" t="str">
        <f>F!C56</f>
        <v>&gt;75% of the vegetated cover, in the AA or along its water edge (whichever has more).</v>
      </c>
      <c r="D72" s="97">
        <f>F!D56</f>
        <v>0</v>
      </c>
      <c r="E72" s="103">
        <v>1</v>
      </c>
      <c r="F72" s="103">
        <f>D72*E72</f>
        <v>0</v>
      </c>
      <c r="G72" s="508"/>
      <c r="H72" s="1671"/>
      <c r="I72" s="1671"/>
    </row>
    <row r="73" spans="1:9" ht="60" customHeight="1" thickBot="1" x14ac:dyDescent="0.25">
      <c r="A73" s="2145" t="str">
        <f>F!A69</f>
        <v>F12</v>
      </c>
      <c r="B73" s="2137" t="str">
        <f>F!B69</f>
        <v xml:space="preserve">Ground Irregularity </v>
      </c>
      <c r="C73" s="476" t="str">
        <f>F!C69</f>
        <v>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v>
      </c>
      <c r="D73" s="126"/>
      <c r="E73" s="126"/>
      <c r="F73" s="101"/>
      <c r="G73" s="511">
        <f>MAX(F74:F76)/MAX(E74:E76)</f>
        <v>0</v>
      </c>
      <c r="H73" s="1693" t="s">
        <v>1353</v>
      </c>
      <c r="I73" s="1669" t="s">
        <v>293</v>
      </c>
    </row>
    <row r="74" spans="1:9" ht="27.6" customHeight="1" x14ac:dyDescent="0.2">
      <c r="A74" s="2054"/>
      <c r="B74" s="2061"/>
      <c r="C74" s="83" t="str">
        <f>F!C70</f>
        <v>Few or none (minimal microtopography; &lt;1% of the land has such features, or entire AA is always water-covered).</v>
      </c>
      <c r="D74" s="49">
        <f>F!D70</f>
        <v>0</v>
      </c>
      <c r="E74" s="40">
        <v>0</v>
      </c>
      <c r="F74" s="44">
        <f>D74*E74</f>
        <v>0</v>
      </c>
      <c r="G74" s="569"/>
      <c r="H74" s="1696"/>
      <c r="I74" s="1670"/>
    </row>
    <row r="75" spans="1:9" ht="15" customHeight="1" x14ac:dyDescent="0.2">
      <c r="A75" s="2054"/>
      <c r="B75" s="2061"/>
      <c r="C75" s="477" t="str">
        <f>F!C71</f>
        <v>Intermediate.</v>
      </c>
      <c r="D75" s="22">
        <f>F!D71</f>
        <v>0</v>
      </c>
      <c r="E75" s="40">
        <v>1</v>
      </c>
      <c r="F75" s="44">
        <f>D75*E75</f>
        <v>0</v>
      </c>
      <c r="G75" s="570"/>
      <c r="H75" s="1696"/>
      <c r="I75" s="1670"/>
    </row>
    <row r="76" spans="1:9" ht="15" customHeight="1" thickBot="1" x14ac:dyDescent="0.25">
      <c r="A76" s="2055"/>
      <c r="B76" s="2062"/>
      <c r="C76" s="478" t="str">
        <f>F!C72</f>
        <v>Several (extensive micro-topography).</v>
      </c>
      <c r="D76" s="97">
        <f>F!D72</f>
        <v>0</v>
      </c>
      <c r="E76" s="98">
        <v>2</v>
      </c>
      <c r="F76" s="103">
        <f>D76*E76</f>
        <v>0</v>
      </c>
      <c r="G76" s="508"/>
      <c r="H76" s="1712"/>
      <c r="I76" s="1671"/>
    </row>
    <row r="77" spans="1:9" ht="45" customHeight="1" thickBot="1" x14ac:dyDescent="0.25">
      <c r="A77" s="2063" t="str">
        <f>F!A77</f>
        <v>F14</v>
      </c>
      <c r="B77" s="2061" t="str">
        <f>F!B77</f>
        <v>Soil Texture</v>
      </c>
      <c r="C77" s="476" t="str">
        <f>F!C77</f>
        <v xml:space="preserve">In parts of the AA that lack persistent water, the texture of soil in the uppermost layer is mostly:  [To determine this, use a trowel to check in at least 3 widely spaced locations, and use the soil texture key (in Appendix A of the Manual).] </v>
      </c>
      <c r="D77" s="126"/>
      <c r="E77" s="496"/>
      <c r="F77" s="45"/>
      <c r="G77" s="497">
        <f>MAX(F78:F82)/MAX(E78:E82)</f>
        <v>0</v>
      </c>
      <c r="H77" s="1696" t="s">
        <v>1402</v>
      </c>
      <c r="I77" s="1669" t="s">
        <v>294</v>
      </c>
    </row>
    <row r="78" spans="1:9" ht="27" customHeight="1" x14ac:dyDescent="0.2">
      <c r="A78" s="2063"/>
      <c r="B78" s="2061"/>
      <c r="C78" s="83" t="str">
        <f>F!C78</f>
        <v>Loamy: soils that may contain a little fine grit and do not make a "ribbon" longer than 2 cm when moistened, rolled, squeezed, and extended between thumb and forefinger.</v>
      </c>
      <c r="D78" s="49">
        <f>F!D78</f>
        <v>0</v>
      </c>
      <c r="E78" s="40">
        <v>1</v>
      </c>
      <c r="F78" s="44">
        <f>D78*E78</f>
        <v>0</v>
      </c>
      <c r="G78" s="569"/>
      <c r="H78" s="1696"/>
      <c r="I78" s="1670"/>
    </row>
    <row r="79" spans="1:9" ht="27" customHeight="1" x14ac:dyDescent="0.2">
      <c r="A79" s="2063"/>
      <c r="B79" s="2061"/>
      <c r="C79" s="477" t="str">
        <f>F!C79</f>
        <v>Fines: includes silt, clay, silt, soils that make a ribbon longer than 2 cm when moistened, rolled, squeezed, and extended between thumb and forefinger.</v>
      </c>
      <c r="D79" s="22">
        <f>F!D79</f>
        <v>0</v>
      </c>
      <c r="E79" s="40">
        <v>1</v>
      </c>
      <c r="F79" s="44">
        <f>D79*E79</f>
        <v>0</v>
      </c>
      <c r="G79" s="570"/>
      <c r="H79" s="1696"/>
      <c r="I79" s="1670"/>
    </row>
    <row r="80" spans="1:9" ht="15" customHeight="1" x14ac:dyDescent="0.2">
      <c r="A80" s="2063"/>
      <c r="B80" s="2061"/>
      <c r="C80" s="477" t="str">
        <f>F!C80</f>
        <v>Deep Peat, to 40 cm depth or greater.</v>
      </c>
      <c r="D80" s="22">
        <f>F!D80</f>
        <v>0</v>
      </c>
      <c r="E80" s="40">
        <v>2</v>
      </c>
      <c r="F80" s="44">
        <f>D80*E80</f>
        <v>0</v>
      </c>
      <c r="G80" s="570"/>
      <c r="H80" s="1696"/>
      <c r="I80" s="1670"/>
    </row>
    <row r="81" spans="1:9" ht="15" customHeight="1" x14ac:dyDescent="0.2">
      <c r="A81" s="2063"/>
      <c r="B81" s="2061"/>
      <c r="C81" s="477" t="str">
        <f>F!C81</f>
        <v xml:space="preserve">Shallow Peat or organic &lt;40 cm deep. </v>
      </c>
      <c r="D81" s="22">
        <f>F!D81</f>
        <v>0</v>
      </c>
      <c r="E81" s="40">
        <v>2</v>
      </c>
      <c r="F81" s="44">
        <f>D81*E81</f>
        <v>0</v>
      </c>
      <c r="G81" s="510"/>
      <c r="H81" s="1696"/>
      <c r="I81" s="1670"/>
    </row>
    <row r="82" spans="1:9" ht="27" customHeight="1" thickBot="1" x14ac:dyDescent="0.25">
      <c r="A82" s="2063"/>
      <c r="B82" s="2061"/>
      <c r="C82" s="484" t="str">
        <f>F!C82</f>
        <v>Coarse: includes sand, loamy sand, gravel, cobble, soils that do not make a ribbon when moistened, rolled, squeezed, and extended between thumb and forefinger.</v>
      </c>
      <c r="D82" s="42">
        <f>F!D82</f>
        <v>0</v>
      </c>
      <c r="E82" s="498">
        <v>0</v>
      </c>
      <c r="F82" s="99">
        <f>D82*E82</f>
        <v>0</v>
      </c>
      <c r="G82" s="510"/>
      <c r="H82" s="1696"/>
      <c r="I82" s="1671"/>
    </row>
    <row r="83" spans="1:9" ht="30" customHeight="1" thickBot="1" x14ac:dyDescent="0.25">
      <c r="A83" s="2145" t="str">
        <f>F!A105</f>
        <v>F19</v>
      </c>
      <c r="B83" s="2137" t="str">
        <f>F!B105</f>
        <v xml:space="preserve">Dominance of Most Abundant Herbaceous Species </v>
      </c>
      <c r="C83" s="476" t="str">
        <f>F!C105</f>
        <v>Determine which two herbaceous species comprise the greatest portion of the herbaceous cover (excluding mosses and floating-leaved aquatic plants). Then choose one of the following:</v>
      </c>
      <c r="D83" s="126"/>
      <c r="E83" s="127"/>
      <c r="F83" s="127"/>
      <c r="G83" s="511">
        <f>IF((NoHerbCov=1),"", MAX(F84:F85))</f>
        <v>0</v>
      </c>
      <c r="H83" s="1971" t="s">
        <v>1617</v>
      </c>
      <c r="I83" s="1669" t="s">
        <v>295</v>
      </c>
    </row>
    <row r="84" spans="1:9" ht="15" customHeight="1" x14ac:dyDescent="0.2">
      <c r="A84" s="2054"/>
      <c r="B84" s="2061"/>
      <c r="C84" s="83" t="str">
        <f>F!C106</f>
        <v>those species together comprise &gt; 50% of the areal cover of herbaceous plants at any time during the year.</v>
      </c>
      <c r="D84" s="49">
        <f>F!D106</f>
        <v>0</v>
      </c>
      <c r="E84" s="44">
        <v>0</v>
      </c>
      <c r="F84" s="44">
        <f>D84*E84</f>
        <v>0</v>
      </c>
      <c r="G84" s="570"/>
      <c r="H84" s="1938"/>
      <c r="I84" s="1670"/>
    </row>
    <row r="85" spans="1:9" ht="27" customHeight="1" thickBot="1" x14ac:dyDescent="0.25">
      <c r="A85" s="2055"/>
      <c r="B85" s="2062"/>
      <c r="C85" s="478" t="str">
        <f>F!C107</f>
        <v>those species together do not comprise &gt; 50% of the areal cover of herbaceous plants at any time during the year.</v>
      </c>
      <c r="D85" s="97">
        <f>F!D107</f>
        <v>0</v>
      </c>
      <c r="E85" s="103">
        <v>1</v>
      </c>
      <c r="F85" s="103">
        <f>D85*E85</f>
        <v>0</v>
      </c>
      <c r="G85" s="508"/>
      <c r="H85" s="1972"/>
      <c r="I85" s="1671"/>
    </row>
    <row r="86" spans="1:9" ht="30" customHeight="1" thickBot="1" x14ac:dyDescent="0.25">
      <c r="A86" s="2063" t="str">
        <f>F!A108</f>
        <v>F20</v>
      </c>
      <c r="B86" s="2061" t="str">
        <f>F!B108</f>
        <v>Invasive Plant Cover</v>
      </c>
      <c r="C86" s="476" t="str">
        <f>F!C108</f>
        <v>How extensive is the cover of invasive plant species in the AA?  For species, see Plants_invasive worksheet in the accompanying SuppInfo file.</v>
      </c>
      <c r="D86" s="126"/>
      <c r="E86" s="496"/>
      <c r="F86" s="593"/>
      <c r="G86" s="497">
        <f>MAX(F87:F91)/MAX(E87:E91)</f>
        <v>0</v>
      </c>
      <c r="H86" s="1696" t="s">
        <v>1695</v>
      </c>
      <c r="I86" s="1669" t="s">
        <v>1341</v>
      </c>
    </row>
    <row r="87" spans="1:9" ht="15" customHeight="1" x14ac:dyDescent="0.2">
      <c r="A87" s="2063"/>
      <c r="B87" s="2061"/>
      <c r="C87" s="83" t="str">
        <f>F!C109</f>
        <v>invasive species appear to be absent in the AA, or are present only in trace amount (a few individuals).</v>
      </c>
      <c r="D87" s="49">
        <f>F!D109</f>
        <v>0</v>
      </c>
      <c r="E87" s="40">
        <v>4</v>
      </c>
      <c r="F87" s="44">
        <f>D87*E87</f>
        <v>0</v>
      </c>
      <c r="G87" s="383" t="s">
        <v>912</v>
      </c>
      <c r="H87" s="1696"/>
      <c r="I87" s="1670"/>
    </row>
    <row r="88" spans="1:9" ht="27" customHeight="1" x14ac:dyDescent="0.2">
      <c r="A88" s="2063"/>
      <c r="B88" s="2061"/>
      <c r="C88" s="477" t="str">
        <f>F!C110</f>
        <v>invasive species are present in more than trace amounts, but comprise &lt;5% of herbaceous cover (or woody cover, if the invasives are woody).</v>
      </c>
      <c r="D88" s="22">
        <f>F!D110</f>
        <v>0</v>
      </c>
      <c r="E88" s="40">
        <v>3</v>
      </c>
      <c r="F88" s="44">
        <f>D88*E88</f>
        <v>0</v>
      </c>
      <c r="G88" s="383"/>
      <c r="H88" s="1696"/>
      <c r="I88" s="1670"/>
    </row>
    <row r="89" spans="1:9" ht="15" customHeight="1" x14ac:dyDescent="0.2">
      <c r="A89" s="2063"/>
      <c r="B89" s="2061"/>
      <c r="C89" s="477" t="str">
        <f>F!C111</f>
        <v>invasive species comprise 5-20% of the herb cover (or woody cover, if the invasives are woody).</v>
      </c>
      <c r="D89" s="22">
        <f>F!D111</f>
        <v>0</v>
      </c>
      <c r="E89" s="44">
        <v>2</v>
      </c>
      <c r="F89" s="44">
        <f>D89*E89</f>
        <v>0</v>
      </c>
      <c r="G89" s="570"/>
      <c r="H89" s="1696"/>
      <c r="I89" s="1670"/>
    </row>
    <row r="90" spans="1:9" ht="15" customHeight="1" thickBot="1" x14ac:dyDescent="0.25">
      <c r="A90" s="2063"/>
      <c r="B90" s="2061"/>
      <c r="C90" s="477" t="str">
        <f>F!C112</f>
        <v>invasive species comprise 20-50% of the herb cover  (or woody cover, if the invasives are woody).</v>
      </c>
      <c r="D90" s="22">
        <f>F!D112</f>
        <v>0</v>
      </c>
      <c r="E90" s="44">
        <v>1</v>
      </c>
      <c r="F90" s="44">
        <f>D90*E90</f>
        <v>0</v>
      </c>
      <c r="G90" s="570"/>
      <c r="H90" s="1696"/>
      <c r="I90" s="1670"/>
    </row>
    <row r="91" spans="1:9" ht="15" customHeight="1" thickBot="1" x14ac:dyDescent="0.25">
      <c r="A91" s="2063"/>
      <c r="B91" s="2061"/>
      <c r="C91" s="484" t="str">
        <f>F!C113</f>
        <v>invasive species comprise &gt;50% of the herb cover  (or woody cover, if the invasives are woody).</v>
      </c>
      <c r="D91" s="42">
        <f>F!D113</f>
        <v>0</v>
      </c>
      <c r="E91" s="99">
        <v>0</v>
      </c>
      <c r="F91" s="594">
        <f>D91*E91</f>
        <v>0</v>
      </c>
      <c r="G91" s="592"/>
      <c r="H91" s="1696"/>
      <c r="I91" s="3" t="s">
        <v>2404</v>
      </c>
    </row>
    <row r="92" spans="1:9" ht="30.6" customHeight="1" thickBot="1" x14ac:dyDescent="0.25">
      <c r="A92" s="2145" t="str">
        <f>F!A114</f>
        <v>F21</v>
      </c>
      <c r="B92" s="2137" t="str">
        <f>F!B114</f>
        <v>Invasive Cover Along Upland Edge</v>
      </c>
      <c r="C92" s="476" t="str">
        <f>F!C114</f>
        <v>Along the wetland-upland boundary, the percent of the upland edge (within 3 m upslope from the wetland) that is occupied by invasive plant species is:</v>
      </c>
      <c r="D92" s="126"/>
      <c r="E92" s="126"/>
      <c r="F92" s="100"/>
      <c r="G92" s="511">
        <f>MAX(F93:F96)/MAX(E93:E96)</f>
        <v>0</v>
      </c>
      <c r="H92" s="1971" t="s">
        <v>604</v>
      </c>
      <c r="I92" s="1669" t="s">
        <v>296</v>
      </c>
    </row>
    <row r="93" spans="1:9" ht="15" customHeight="1" x14ac:dyDescent="0.2">
      <c r="A93" s="2054"/>
      <c r="B93" s="2061"/>
      <c r="C93" s="83" t="str">
        <f>F!C115</f>
        <v>none of the upland edge (invasives apparently absent), or AA has no upland edge.</v>
      </c>
      <c r="D93" s="49">
        <f>F!D115</f>
        <v>0</v>
      </c>
      <c r="E93" s="40">
        <v>4</v>
      </c>
      <c r="F93" s="40">
        <f>D93*E93</f>
        <v>0</v>
      </c>
      <c r="G93" s="569"/>
      <c r="H93" s="1938"/>
      <c r="I93" s="1670"/>
    </row>
    <row r="94" spans="1:9" ht="15" customHeight="1" x14ac:dyDescent="0.2">
      <c r="A94" s="2054"/>
      <c r="B94" s="2061"/>
      <c r="C94" s="477" t="str">
        <f>F!C116</f>
        <v>some (but &lt;5%) of the upland edge.</v>
      </c>
      <c r="D94" s="22">
        <f>F!D116</f>
        <v>0</v>
      </c>
      <c r="E94" s="40">
        <v>3</v>
      </c>
      <c r="F94" s="40">
        <f>D94*E94</f>
        <v>0</v>
      </c>
      <c r="G94" s="570"/>
      <c r="H94" s="1938"/>
      <c r="I94" s="1670"/>
    </row>
    <row r="95" spans="1:9" ht="15" customHeight="1" x14ac:dyDescent="0.2">
      <c r="A95" s="2054"/>
      <c r="B95" s="2061"/>
      <c r="C95" s="477" t="str">
        <f>F!C117</f>
        <v>5-50% of the upland edge.</v>
      </c>
      <c r="D95" s="22">
        <f>F!D117</f>
        <v>0</v>
      </c>
      <c r="E95" s="40">
        <v>2</v>
      </c>
      <c r="F95" s="40">
        <f>D95*E95</f>
        <v>0</v>
      </c>
      <c r="G95" s="570"/>
      <c r="H95" s="1938"/>
      <c r="I95" s="1670"/>
    </row>
    <row r="96" spans="1:9" ht="15" customHeight="1" thickBot="1" x14ac:dyDescent="0.25">
      <c r="A96" s="2055"/>
      <c r="B96" s="2061"/>
      <c r="C96" s="478" t="str">
        <f>F!C118</f>
        <v>most (&gt;50%) of the upland edge.</v>
      </c>
      <c r="D96" s="42">
        <f>F!D118</f>
        <v>0</v>
      </c>
      <c r="E96" s="498">
        <v>0</v>
      </c>
      <c r="F96" s="498">
        <f>D96*E96</f>
        <v>0</v>
      </c>
      <c r="G96" s="510"/>
      <c r="H96" s="1939"/>
      <c r="I96" s="1671"/>
    </row>
    <row r="97" spans="1:9" ht="30" customHeight="1" thickBot="1" x14ac:dyDescent="0.25">
      <c r="A97" s="2134" t="str">
        <f>F!A121</f>
        <v>F24</v>
      </c>
      <c r="B97" s="2069" t="str">
        <f>F!B121</f>
        <v>% of AA Without Surface Water</v>
      </c>
      <c r="C97" s="476" t="str">
        <f>F!C121</f>
        <v>The percentage of the AA that never contains surface water during an average year (that is, except perhaps for a few hours after snowmelt or rainstorms), but which is still a wetland, is:</v>
      </c>
      <c r="D97" s="126"/>
      <c r="E97" s="512"/>
      <c r="F97" s="587"/>
      <c r="G97" s="511">
        <f>MAX(F98:F103)/MAX(E98:E103)</f>
        <v>0</v>
      </c>
      <c r="H97" s="1710" t="s">
        <v>1477</v>
      </c>
      <c r="I97" s="1669" t="s">
        <v>661</v>
      </c>
    </row>
    <row r="98" spans="1:9" ht="15" customHeight="1" x14ac:dyDescent="0.2">
      <c r="A98" s="2135"/>
      <c r="B98" s="2070"/>
      <c r="C98" s="580" t="str">
        <f>F!C122</f>
        <v xml:space="preserve">&lt;1% . In other words, all or nearly all of the AA is covered by water permanently or at least seasonally.  </v>
      </c>
      <c r="D98" s="169">
        <f>F!D122</f>
        <v>0</v>
      </c>
      <c r="E98" s="40">
        <v>1</v>
      </c>
      <c r="F98" s="44">
        <f t="shared" ref="F98:F103" si="5">D98*E98</f>
        <v>0</v>
      </c>
      <c r="G98" s="570"/>
      <c r="H98" s="1711"/>
      <c r="I98" s="1670"/>
    </row>
    <row r="99" spans="1:9" ht="15" customHeight="1" x14ac:dyDescent="0.2">
      <c r="A99" s="2135"/>
      <c r="B99" s="2070"/>
      <c r="C99" s="580" t="str">
        <f>F!C123</f>
        <v>1-25% of the AA,  or &lt;1% but &gt;0.01 ha never contains surface water.</v>
      </c>
      <c r="D99" s="169">
        <f>F!D123</f>
        <v>0</v>
      </c>
      <c r="E99" s="40">
        <v>2</v>
      </c>
      <c r="F99" s="44">
        <f t="shared" si="5"/>
        <v>0</v>
      </c>
      <c r="G99" s="570"/>
      <c r="H99" s="1711"/>
      <c r="I99" s="1670"/>
    </row>
    <row r="100" spans="1:9" ht="15" customHeight="1" x14ac:dyDescent="0.2">
      <c r="A100" s="2135"/>
      <c r="B100" s="2070"/>
      <c r="C100" s="580" t="str">
        <f>F!C124</f>
        <v>25-50% of the AA never contains surface water.</v>
      </c>
      <c r="D100" s="169">
        <f>F!D124</f>
        <v>0</v>
      </c>
      <c r="E100" s="40">
        <v>3</v>
      </c>
      <c r="F100" s="44">
        <f t="shared" si="5"/>
        <v>0</v>
      </c>
      <c r="G100" s="570"/>
      <c r="H100" s="1711"/>
      <c r="I100" s="1670"/>
    </row>
    <row r="101" spans="1:9" ht="15" customHeight="1" x14ac:dyDescent="0.2">
      <c r="A101" s="2135"/>
      <c r="B101" s="2070"/>
      <c r="C101" s="580" t="str">
        <f>F!C125</f>
        <v>50-75% of the AA never contains surface water.</v>
      </c>
      <c r="D101" s="169">
        <f>F!D125</f>
        <v>0</v>
      </c>
      <c r="E101" s="40">
        <v>4</v>
      </c>
      <c r="F101" s="44">
        <f t="shared" si="5"/>
        <v>0</v>
      </c>
      <c r="G101" s="570"/>
      <c r="H101" s="1711"/>
      <c r="I101" s="1670"/>
    </row>
    <row r="102" spans="1:9" ht="27" customHeight="1" x14ac:dyDescent="0.2">
      <c r="A102" s="2135"/>
      <c r="B102" s="2070"/>
      <c r="C102" s="580" t="str">
        <f>F!C126</f>
        <v>75-99% of the AA never contains surface water, OR &gt;99% and there is at least one persistently ponded water body larger than 1 ha in the AA.</v>
      </c>
      <c r="D102" s="169">
        <f>F!D126</f>
        <v>0</v>
      </c>
      <c r="E102" s="40">
        <v>3</v>
      </c>
      <c r="F102" s="44">
        <f t="shared" si="5"/>
        <v>0</v>
      </c>
      <c r="G102" s="570"/>
      <c r="H102" s="1711"/>
      <c r="I102" s="1670"/>
    </row>
    <row r="103" spans="1:9" ht="27" customHeight="1" thickBot="1" x14ac:dyDescent="0.25">
      <c r="A103" s="2136"/>
      <c r="B103" s="2071"/>
      <c r="C103" s="580" t="str">
        <f>F!C127</f>
        <v>99-100%. AND there is no persistently ponded water body larger than 1 ha within the AA. Enter "1" and SKIP to F42 (Channel Connection).</v>
      </c>
      <c r="D103" s="169">
        <f>F!D127</f>
        <v>0</v>
      </c>
      <c r="E103" s="98">
        <v>2</v>
      </c>
      <c r="F103" s="103">
        <f t="shared" si="5"/>
        <v>0</v>
      </c>
      <c r="G103" s="508"/>
      <c r="H103" s="2170"/>
      <c r="I103" s="1671"/>
    </row>
    <row r="104" spans="1:9" ht="36" customHeight="1" thickBot="1" x14ac:dyDescent="0.25">
      <c r="A104" s="2063" t="str">
        <f>F!A140</f>
        <v>F27</v>
      </c>
      <c r="B104" s="2070" t="str">
        <f>F!B140</f>
        <v>% of AA that is Flooded Only Seasonally</v>
      </c>
      <c r="C104" s="476" t="str">
        <f>F!C140</f>
        <v>The percentage of the AA's area that is between the annual high water and the annual low water (surface water) is:</v>
      </c>
      <c r="D104" s="126"/>
      <c r="E104" s="496"/>
      <c r="F104" s="569"/>
      <c r="G104" s="497">
        <f>IF((AllSat1&gt;0),"",MAX(F105:F109)/MAX(E105:E109))</f>
        <v>0</v>
      </c>
      <c r="H104" s="1669" t="s">
        <v>1616</v>
      </c>
      <c r="I104" s="1669" t="s">
        <v>307</v>
      </c>
    </row>
    <row r="105" spans="1:9" ht="15" customHeight="1" x14ac:dyDescent="0.2">
      <c r="A105" s="2063"/>
      <c r="B105" s="2070"/>
      <c r="C105" s="21" t="str">
        <f>F!C141</f>
        <v>None, or &lt;0.01 hectare and &lt;1% of the AA.  SKIP to F29.</v>
      </c>
      <c r="D105" s="168">
        <f>F!D141</f>
        <v>0</v>
      </c>
      <c r="E105" s="40">
        <v>0</v>
      </c>
      <c r="F105" s="44">
        <f>D105*E105</f>
        <v>0</v>
      </c>
      <c r="G105" s="569"/>
      <c r="H105" s="1670"/>
      <c r="I105" s="1670"/>
    </row>
    <row r="106" spans="1:9" ht="15" customHeight="1" x14ac:dyDescent="0.2">
      <c r="A106" s="2063"/>
      <c r="B106" s="2070"/>
      <c r="C106" s="581" t="str">
        <f>F!C142</f>
        <v>1-20% of the AA, or &lt;1% but &gt;0.01 ha.</v>
      </c>
      <c r="D106" s="170">
        <f>F!D142</f>
        <v>0</v>
      </c>
      <c r="E106" s="40">
        <v>1</v>
      </c>
      <c r="F106" s="44">
        <f>D106*E106</f>
        <v>0</v>
      </c>
      <c r="G106" s="570"/>
      <c r="H106" s="1670"/>
      <c r="I106" s="1670"/>
    </row>
    <row r="107" spans="1:9" ht="15" customHeight="1" x14ac:dyDescent="0.2">
      <c r="A107" s="2063"/>
      <c r="B107" s="2070"/>
      <c r="C107" s="581" t="str">
        <f>F!C143</f>
        <v>20-50% of the AA.</v>
      </c>
      <c r="D107" s="170">
        <f>F!D143</f>
        <v>0</v>
      </c>
      <c r="E107" s="40">
        <v>2</v>
      </c>
      <c r="F107" s="44">
        <f>D107*E107</f>
        <v>0</v>
      </c>
      <c r="G107" s="570"/>
      <c r="H107" s="1670"/>
      <c r="I107" s="1670"/>
    </row>
    <row r="108" spans="1:9" ht="15" customHeight="1" x14ac:dyDescent="0.2">
      <c r="A108" s="2063"/>
      <c r="B108" s="2070"/>
      <c r="C108" s="581" t="str">
        <f>F!C144</f>
        <v>50-95% of the AA.</v>
      </c>
      <c r="D108" s="170">
        <f>F!D144</f>
        <v>0</v>
      </c>
      <c r="E108" s="40">
        <v>3</v>
      </c>
      <c r="F108" s="44">
        <f>D108*E108</f>
        <v>0</v>
      </c>
      <c r="G108" s="570"/>
      <c r="H108" s="1670"/>
      <c r="I108" s="1670"/>
    </row>
    <row r="109" spans="1:9" ht="15" customHeight="1" thickBot="1" x14ac:dyDescent="0.25">
      <c r="A109" s="2063"/>
      <c r="B109" s="2070"/>
      <c r="C109" s="581" t="str">
        <f>F!C145</f>
        <v xml:space="preserve">&gt;95% of the AA. </v>
      </c>
      <c r="D109" s="170">
        <f>F!D145</f>
        <v>0</v>
      </c>
      <c r="E109" s="498">
        <v>4</v>
      </c>
      <c r="F109" s="99">
        <f>D109*E109</f>
        <v>0</v>
      </c>
      <c r="G109" s="510"/>
      <c r="H109" s="1671"/>
      <c r="I109" s="1671"/>
    </row>
    <row r="110" spans="1:9" ht="30" customHeight="1" thickBot="1" x14ac:dyDescent="0.25">
      <c r="A110" s="2145" t="str">
        <f>F!A146</f>
        <v>F28</v>
      </c>
      <c r="B110" s="2069" t="str">
        <f>F!B146</f>
        <v>Annual Water Fluctuation Range</v>
      </c>
      <c r="C110" s="476" t="str">
        <f>F!C146</f>
        <v>The annual fluctuation in surface water level within most of the parts of the AA that contain surface water at least temporarily is:</v>
      </c>
      <c r="D110" s="126"/>
      <c r="E110" s="126"/>
      <c r="F110" s="588"/>
      <c r="G110" s="511">
        <f>IF((AllSat1&gt;0),"", IF((NoSeasonal=1),"",MAX(F111:F115)/MAX(E111:E115)))</f>
        <v>0</v>
      </c>
      <c r="H110" s="1669" t="s">
        <v>1623</v>
      </c>
      <c r="I110" s="1669" t="s">
        <v>311</v>
      </c>
    </row>
    <row r="111" spans="1:9" ht="15" customHeight="1" x14ac:dyDescent="0.2">
      <c r="A111" s="2054"/>
      <c r="B111" s="2070"/>
      <c r="C111" s="21" t="str">
        <f>F!C147</f>
        <v>&lt;10 cm change (stable or nearly so).</v>
      </c>
      <c r="D111" s="168">
        <f>F!D147</f>
        <v>0</v>
      </c>
      <c r="E111" s="40">
        <v>1</v>
      </c>
      <c r="F111" s="44">
        <f>D111*E111</f>
        <v>0</v>
      </c>
      <c r="G111" s="569"/>
      <c r="H111" s="1670"/>
      <c r="I111" s="1670"/>
    </row>
    <row r="112" spans="1:9" ht="15" customHeight="1" x14ac:dyDescent="0.2">
      <c r="A112" s="2054"/>
      <c r="B112" s="2070"/>
      <c r="C112" s="581" t="str">
        <f>F!C148</f>
        <v>10 cm - 50 cm change.</v>
      </c>
      <c r="D112" s="170">
        <f>F!D148</f>
        <v>0</v>
      </c>
      <c r="E112" s="40">
        <v>2</v>
      </c>
      <c r="F112" s="44">
        <f>D112*E112</f>
        <v>0</v>
      </c>
      <c r="G112" s="570"/>
      <c r="H112" s="1670"/>
      <c r="I112" s="1670"/>
    </row>
    <row r="113" spans="1:9" ht="15" customHeight="1" x14ac:dyDescent="0.2">
      <c r="A113" s="2054"/>
      <c r="B113" s="2070"/>
      <c r="C113" s="581" t="str">
        <f>F!C149</f>
        <v>0.5 - 1 m change.</v>
      </c>
      <c r="D113" s="170">
        <f>F!D149</f>
        <v>0</v>
      </c>
      <c r="E113" s="40">
        <v>2</v>
      </c>
      <c r="F113" s="44">
        <f>D113*E113</f>
        <v>0</v>
      </c>
      <c r="G113" s="570"/>
      <c r="H113" s="1670"/>
      <c r="I113" s="1670"/>
    </row>
    <row r="114" spans="1:9" ht="15" customHeight="1" x14ac:dyDescent="0.2">
      <c r="A114" s="2054"/>
      <c r="B114" s="2070"/>
      <c r="C114" s="581" t="str">
        <f>F!C150</f>
        <v>1-2 m change.</v>
      </c>
      <c r="D114" s="170">
        <f>F!D150</f>
        <v>0</v>
      </c>
      <c r="E114" s="498">
        <v>2</v>
      </c>
      <c r="F114" s="99">
        <f>D114*E114</f>
        <v>0</v>
      </c>
      <c r="G114" s="510"/>
      <c r="H114" s="1670"/>
      <c r="I114" s="1670"/>
    </row>
    <row r="115" spans="1:9" ht="15" customHeight="1" thickBot="1" x14ac:dyDescent="0.25">
      <c r="A115" s="2055"/>
      <c r="B115" s="2071"/>
      <c r="C115" s="581" t="str">
        <f>F!C151</f>
        <v>&gt;2 m change.</v>
      </c>
      <c r="D115" s="170">
        <f>F!D151</f>
        <v>0</v>
      </c>
      <c r="E115" s="98">
        <v>1</v>
      </c>
      <c r="F115" s="103">
        <f>D115*E115</f>
        <v>0</v>
      </c>
      <c r="G115" s="508"/>
      <c r="H115" s="1671"/>
      <c r="I115" s="1671"/>
    </row>
    <row r="116" spans="1:9" ht="30" customHeight="1" thickBot="1" x14ac:dyDescent="0.25">
      <c r="A116" s="2063" t="str">
        <f>F!A153</f>
        <v>F29</v>
      </c>
      <c r="B116" s="2061" t="str">
        <f>F!B153</f>
        <v>Predominant Depth Class</v>
      </c>
      <c r="C116" s="476" t="str">
        <f>F!C153</f>
        <v>During most of the time when surface water is present during the growing season, its depth, averaged over the entire inundated part of the AA, is:</v>
      </c>
      <c r="D116" s="126"/>
      <c r="E116" s="496"/>
      <c r="F116" s="105"/>
      <c r="G116" s="497">
        <f>IF((AllSat1&gt;0),"",MAX(F117:F121)/MAX(E117:E121))</f>
        <v>0</v>
      </c>
      <c r="H116" s="1696" t="s">
        <v>1219</v>
      </c>
      <c r="I116" s="1669" t="s">
        <v>291</v>
      </c>
    </row>
    <row r="117" spans="1:9" ht="15" customHeight="1" x14ac:dyDescent="0.2">
      <c r="A117" s="2063"/>
      <c r="B117" s="2061"/>
      <c r="C117" s="83" t="str">
        <f>F!C154</f>
        <v>&lt;10 cm deep (but &gt;0).</v>
      </c>
      <c r="D117" s="49">
        <f>F!D154</f>
        <v>0</v>
      </c>
      <c r="E117" s="40">
        <v>6</v>
      </c>
      <c r="F117" s="44">
        <f>D117*E117</f>
        <v>0</v>
      </c>
      <c r="G117" s="570"/>
      <c r="H117" s="1696"/>
      <c r="I117" s="1670"/>
    </row>
    <row r="118" spans="1:9" ht="15" customHeight="1" x14ac:dyDescent="0.2">
      <c r="A118" s="2063"/>
      <c r="B118" s="2061"/>
      <c r="C118" s="477" t="str">
        <f>F!C155</f>
        <v>10 - 50 cm deep.</v>
      </c>
      <c r="D118" s="22">
        <f>F!D155</f>
        <v>0</v>
      </c>
      <c r="E118" s="40">
        <v>4</v>
      </c>
      <c r="F118" s="44">
        <f>D118*E118</f>
        <v>0</v>
      </c>
      <c r="G118" s="570"/>
      <c r="H118" s="1696"/>
      <c r="I118" s="1670"/>
    </row>
    <row r="119" spans="1:9" ht="15" customHeight="1" x14ac:dyDescent="0.2">
      <c r="A119" s="2063"/>
      <c r="B119" s="2061"/>
      <c r="C119" s="477" t="str">
        <f>F!C156</f>
        <v>0.5 - 1 m deep.</v>
      </c>
      <c r="D119" s="22">
        <f>F!D156</f>
        <v>0</v>
      </c>
      <c r="E119" s="40">
        <v>3</v>
      </c>
      <c r="F119" s="44">
        <f>D119*E119</f>
        <v>0</v>
      </c>
      <c r="G119" s="570"/>
      <c r="H119" s="1696"/>
      <c r="I119" s="1670"/>
    </row>
    <row r="120" spans="1:9" ht="15" customHeight="1" x14ac:dyDescent="0.2">
      <c r="A120" s="2063"/>
      <c r="B120" s="2061"/>
      <c r="C120" s="477" t="str">
        <f>F!C157</f>
        <v>1 - 2 m deep.</v>
      </c>
      <c r="D120" s="22">
        <f>F!D157</f>
        <v>0</v>
      </c>
      <c r="E120" s="40">
        <v>1</v>
      </c>
      <c r="F120" s="44">
        <f>D120*E120</f>
        <v>0</v>
      </c>
      <c r="G120" s="570"/>
      <c r="H120" s="1696"/>
      <c r="I120" s="1670"/>
    </row>
    <row r="121" spans="1:9" ht="15" customHeight="1" thickBot="1" x14ac:dyDescent="0.25">
      <c r="A121" s="2063"/>
      <c r="B121" s="2061"/>
      <c r="C121" s="484" t="str">
        <f>F!C158</f>
        <v>&gt;2 m deep. True for many fringe wetlands.</v>
      </c>
      <c r="D121" s="42">
        <f>F!D158</f>
        <v>0</v>
      </c>
      <c r="E121" s="498">
        <v>0</v>
      </c>
      <c r="F121" s="99">
        <f>D121*E121</f>
        <v>0</v>
      </c>
      <c r="G121" s="510"/>
      <c r="H121" s="1696"/>
      <c r="I121" s="1671"/>
    </row>
    <row r="122" spans="1:9" ht="30" customHeight="1" thickBot="1" x14ac:dyDescent="0.25">
      <c r="A122" s="2064" t="str">
        <f>F!A177</f>
        <v>F34</v>
      </c>
      <c r="B122" s="2058" t="str">
        <f>F!B177</f>
        <v>Width of Vegetated Zone within Wetland</v>
      </c>
      <c r="C122" s="476" t="str">
        <f>F!C177</f>
        <v>At the time during the growing season when the AA's water level is lowest, the average width of vegetated area in the AA that separates adjoining uplands from open water within the AA is:</v>
      </c>
      <c r="D122" s="126"/>
      <c r="E122" s="512"/>
      <c r="F122" s="101"/>
      <c r="G122" s="564">
        <f>IF((AllSat1&gt;0),"",IF((NoOpenPonded=1),"",MAX(F123:F128)/MAX(E123:E128)))</f>
        <v>0</v>
      </c>
      <c r="H122" s="1669" t="s">
        <v>1871</v>
      </c>
      <c r="I122" s="1669" t="s">
        <v>292</v>
      </c>
    </row>
    <row r="123" spans="1:9" ht="15" customHeight="1" x14ac:dyDescent="0.2">
      <c r="A123" s="2065"/>
      <c r="B123" s="2059"/>
      <c r="C123" s="83" t="str">
        <f>F!C178</f>
        <v>&lt;1 m.</v>
      </c>
      <c r="D123" s="49">
        <f>F!D178</f>
        <v>0</v>
      </c>
      <c r="E123" s="589">
        <v>0</v>
      </c>
      <c r="F123" s="44">
        <f t="shared" ref="F123:F128" si="6">D123*E123</f>
        <v>0</v>
      </c>
      <c r="G123" s="574"/>
      <c r="H123" s="1670"/>
      <c r="I123" s="1670"/>
    </row>
    <row r="124" spans="1:9" ht="15" customHeight="1" x14ac:dyDescent="0.2">
      <c r="A124" s="2065"/>
      <c r="B124" s="2059"/>
      <c r="C124" s="83" t="str">
        <f>F!C179</f>
        <v>1 - 9 m.</v>
      </c>
      <c r="D124" s="49">
        <f>F!D179</f>
        <v>0</v>
      </c>
      <c r="E124" s="589">
        <v>1</v>
      </c>
      <c r="F124" s="44">
        <f t="shared" si="6"/>
        <v>0</v>
      </c>
      <c r="G124" s="574"/>
      <c r="H124" s="1670"/>
      <c r="I124" s="1670"/>
    </row>
    <row r="125" spans="1:9" ht="15" customHeight="1" x14ac:dyDescent="0.2">
      <c r="A125" s="2065"/>
      <c r="B125" s="2059"/>
      <c r="C125" s="83" t="str">
        <f>F!C180</f>
        <v>10 - 29 m.</v>
      </c>
      <c r="D125" s="49">
        <f>F!D180</f>
        <v>0</v>
      </c>
      <c r="E125" s="589">
        <v>2</v>
      </c>
      <c r="F125" s="44">
        <f t="shared" si="6"/>
        <v>0</v>
      </c>
      <c r="G125" s="575"/>
      <c r="H125" s="1670"/>
      <c r="I125" s="1670"/>
    </row>
    <row r="126" spans="1:9" ht="15" customHeight="1" x14ac:dyDescent="0.2">
      <c r="A126" s="2065"/>
      <c r="B126" s="2059"/>
      <c r="C126" s="83" t="str">
        <f>F!C181</f>
        <v>30 - 49 m.</v>
      </c>
      <c r="D126" s="49">
        <f>F!D181</f>
        <v>0</v>
      </c>
      <c r="E126" s="589">
        <v>3</v>
      </c>
      <c r="F126" s="44">
        <f t="shared" si="6"/>
        <v>0</v>
      </c>
      <c r="G126" s="575"/>
      <c r="H126" s="1670"/>
      <c r="I126" s="1670"/>
    </row>
    <row r="127" spans="1:9" ht="15" customHeight="1" x14ac:dyDescent="0.2">
      <c r="A127" s="2065"/>
      <c r="B127" s="2059"/>
      <c r="C127" s="83" t="str">
        <f>F!C182</f>
        <v>50 - 100 m.</v>
      </c>
      <c r="D127" s="49">
        <f>F!D182</f>
        <v>0</v>
      </c>
      <c r="E127" s="589">
        <v>4</v>
      </c>
      <c r="F127" s="44">
        <f t="shared" si="6"/>
        <v>0</v>
      </c>
      <c r="G127" s="575"/>
      <c r="H127" s="1670"/>
      <c r="I127" s="1670"/>
    </row>
    <row r="128" spans="1:9" ht="15" customHeight="1" thickBot="1" x14ac:dyDescent="0.25">
      <c r="A128" s="2066"/>
      <c r="B128" s="2060"/>
      <c r="C128" s="1089" t="str">
        <f>F!C183</f>
        <v>&gt; 100 m, or open water is absent at that time.</v>
      </c>
      <c r="D128" s="741">
        <f>F!D183</f>
        <v>0</v>
      </c>
      <c r="E128" s="506">
        <v>6</v>
      </c>
      <c r="F128" s="103">
        <f t="shared" si="6"/>
        <v>0</v>
      </c>
      <c r="G128" s="728"/>
      <c r="H128" s="1671"/>
      <c r="I128" s="1671"/>
    </row>
    <row r="129" spans="1:9" ht="30" customHeight="1" thickBot="1" x14ac:dyDescent="0.25">
      <c r="A129" s="2171" t="str">
        <f>F!A195</f>
        <v>F37</v>
      </c>
      <c r="B129" s="2059" t="str">
        <f>F!B195</f>
        <v>Interspersion of Emergents &amp; Open Water</v>
      </c>
      <c r="C129" s="483" t="str">
        <f>F!C195</f>
        <v>During most of the part of the growing season when water is present, the spatial pattern of emergent vegetation within the water is mostly:</v>
      </c>
      <c r="D129" s="496"/>
      <c r="E129" s="509"/>
      <c r="F129" s="105"/>
      <c r="G129" s="497">
        <f>IF((AllSat1&gt;0),"",IF((NoPonded=1),"",IF((NoOpenPonded+NoOpenPonded1&gt;0),"",IF((AllOpenPond=1),"",IF((NoRobustEm=1),"",MAX(F130:F132)/MAX(E130:E132))))))</f>
        <v>0</v>
      </c>
      <c r="H129" s="1670" t="s">
        <v>1872</v>
      </c>
      <c r="I129" s="1669" t="s">
        <v>2881</v>
      </c>
    </row>
    <row r="130" spans="1:9" ht="15" customHeight="1" x14ac:dyDescent="0.2">
      <c r="A130" s="2072"/>
      <c r="B130" s="2070"/>
      <c r="C130" s="83" t="str">
        <f>F!C196</f>
        <v>Scattered. More than 30% of such vegetation forms small islands or corridors surrounded by water.</v>
      </c>
      <c r="D130" s="49">
        <f>F!D196</f>
        <v>0</v>
      </c>
      <c r="E130" s="589">
        <v>3</v>
      </c>
      <c r="F130" s="44">
        <f>D130*E130</f>
        <v>0</v>
      </c>
      <c r="G130" s="570"/>
      <c r="H130" s="1670"/>
      <c r="I130" s="1670"/>
    </row>
    <row r="131" spans="1:9" ht="15" customHeight="1" x14ac:dyDescent="0.2">
      <c r="A131" s="2072"/>
      <c r="B131" s="2070"/>
      <c r="C131" s="477" t="str">
        <f>F!C197</f>
        <v>Intermediate.</v>
      </c>
      <c r="D131" s="22">
        <f>F!D197</f>
        <v>0</v>
      </c>
      <c r="E131" s="589">
        <v>2</v>
      </c>
      <c r="F131" s="44">
        <f>D131*E131</f>
        <v>0</v>
      </c>
      <c r="G131" s="570"/>
      <c r="H131" s="1670"/>
      <c r="I131" s="1670"/>
    </row>
    <row r="132" spans="1:9" ht="27" customHeight="1" thickBot="1" x14ac:dyDescent="0.25">
      <c r="A132" s="2072"/>
      <c r="B132" s="2070"/>
      <c r="C132" s="484" t="str">
        <f>F!C198</f>
        <v>Clumped. More than 70% of such vegetation is in bands along the wetland perimeter or is clumped at one or a few sides of the surface water area.</v>
      </c>
      <c r="D132" s="42">
        <f>F!D198</f>
        <v>0</v>
      </c>
      <c r="E132" s="590">
        <v>1</v>
      </c>
      <c r="F132" s="99">
        <f>D132*E132</f>
        <v>0</v>
      </c>
      <c r="G132" s="510"/>
      <c r="H132" s="1670"/>
      <c r="I132" s="1671"/>
    </row>
    <row r="133" spans="1:9" ht="60" customHeight="1" thickBot="1" x14ac:dyDescent="0.25">
      <c r="A133" s="108" t="str">
        <f>F!A216</f>
        <v>F44</v>
      </c>
      <c r="B133" s="92" t="str">
        <f>F!B216</f>
        <v>Tributary Channel</v>
      </c>
      <c r="C133" s="579" t="str">
        <f>F!C216</f>
        <v>At least once annually, surface water from a tributary channel that is &gt;100 m long moves into the AA.  Or, surface water from a larger permanent water body adjacent to the AA spills into the AA.  If it enters only via a pipe, that pipe must be fed by a mapped stream or lake further upslope. If no, SKIP to F47 (pH Measurement).</v>
      </c>
      <c r="D133" s="167">
        <f>F!D216</f>
        <v>0</v>
      </c>
      <c r="E133" s="514"/>
      <c r="F133" s="591"/>
      <c r="G133" s="511">
        <f>D133</f>
        <v>0</v>
      </c>
      <c r="H133" s="36" t="s">
        <v>1478</v>
      </c>
      <c r="I133" s="3" t="s">
        <v>1681</v>
      </c>
    </row>
    <row r="134" spans="1:9" ht="33" customHeight="1" thickBot="1" x14ac:dyDescent="0.25">
      <c r="A134" s="2069" t="str">
        <f>F!A224</f>
        <v>F47</v>
      </c>
      <c r="B134" s="2172" t="str">
        <f>F!B224</f>
        <v>pH Measurement</v>
      </c>
      <c r="C134" s="476" t="str">
        <f>F!C224</f>
        <v>The pH in most of the AA's surface water:</v>
      </c>
      <c r="D134" s="1360"/>
      <c r="E134" s="126"/>
      <c r="F134" s="100"/>
      <c r="G134" s="999" t="str">
        <f>IF((D137=1),"", IF((D137&gt;0&lt;5.5),1,""))</f>
        <v/>
      </c>
      <c r="H134" s="1669" t="s">
        <v>2601</v>
      </c>
      <c r="I134" s="1669" t="s">
        <v>1625</v>
      </c>
    </row>
    <row r="135" spans="1:9" ht="27" customHeight="1" thickBot="1" x14ac:dyDescent="0.25">
      <c r="A135" s="2070"/>
      <c r="B135" s="2173"/>
      <c r="C135" s="580" t="str">
        <f>F!C225</f>
        <v>Was measured, and is:  [enter the reading in the column to the right.]</v>
      </c>
      <c r="D135" s="1447" t="str">
        <f>IF((F!D225=""),"",F!D225)</f>
        <v/>
      </c>
      <c r="E135" s="589"/>
      <c r="F135" s="40"/>
      <c r="G135" s="569"/>
      <c r="H135" s="1670"/>
      <c r="I135" s="1670"/>
    </row>
    <row r="136" spans="1:9" ht="39" customHeight="1" x14ac:dyDescent="0.2">
      <c r="A136" s="2070"/>
      <c r="B136" s="2173"/>
      <c r="C136" s="477" t="str">
        <f>F!C226</f>
        <v xml:space="preserve">Was not measured but surface water is present and is darkly tea-coloured.  Or if no surface water, then mosses and plants that indicate peatland (e.g., Labrador tea) are prevalent. Enter "1". </v>
      </c>
      <c r="D136" s="49">
        <f>F!D226</f>
        <v>0</v>
      </c>
      <c r="E136" s="589"/>
      <c r="F136" s="40"/>
      <c r="G136" s="570"/>
      <c r="H136" s="1670"/>
      <c r="I136" s="1670"/>
    </row>
    <row r="137" spans="1:9" ht="27" customHeight="1" thickBot="1" x14ac:dyDescent="0.25">
      <c r="A137" s="2071"/>
      <c r="B137" s="2174"/>
      <c r="C137" s="478" t="str">
        <f>F!C227</f>
        <v>Neither of above. Enter "1".</v>
      </c>
      <c r="D137" s="97">
        <f>F!D227</f>
        <v>0</v>
      </c>
      <c r="E137" s="506"/>
      <c r="F137" s="98"/>
      <c r="G137" s="508"/>
      <c r="H137" s="1671"/>
      <c r="I137" s="1671"/>
    </row>
    <row r="138" spans="1:9" ht="30" customHeight="1" thickBot="1" x14ac:dyDescent="0.25">
      <c r="A138" s="2070" t="str">
        <f>F!A228</f>
        <v>F48</v>
      </c>
      <c r="B138" s="2172" t="str">
        <f>F!B228</f>
        <v>TDS and/or Conductivity</v>
      </c>
      <c r="C138" s="476" t="str">
        <f>F!C228</f>
        <v>The TDS (total dissolved solids) or conductivity off the AA's surface water is: (select the first true row with information):</v>
      </c>
      <c r="D138" s="1155"/>
      <c r="E138" s="496"/>
      <c r="F138" s="46"/>
      <c r="G138" s="1460">
        <f>IF((D142=1),"",IF((D141=1),0,IF((D139&gt;220),0,IF((D140&gt;400),0,""))))</f>
        <v>0</v>
      </c>
      <c r="H138" s="1670" t="s">
        <v>2602</v>
      </c>
      <c r="I138" s="1669" t="s">
        <v>1624</v>
      </c>
    </row>
    <row r="139" spans="1:9" ht="18" customHeight="1" thickBot="1" x14ac:dyDescent="0.25">
      <c r="A139" s="2070"/>
      <c r="B139" s="2173"/>
      <c r="C139" s="580" t="str">
        <f>F!C229</f>
        <v>TDS is: [Enter the reading in ppm or mg/L in the column to the right, if measured, or answer next row.]</v>
      </c>
      <c r="D139" s="1457" t="str">
        <f>IF((F!D229=""),"",F!D229)</f>
        <v/>
      </c>
      <c r="E139" s="589"/>
      <c r="F139" s="40"/>
      <c r="G139" s="569"/>
      <c r="H139" s="1670"/>
      <c r="I139" s="1670"/>
    </row>
    <row r="140" spans="1:9" ht="18" customHeight="1" thickBot="1" x14ac:dyDescent="0.25">
      <c r="A140" s="2070"/>
      <c r="B140" s="2173"/>
      <c r="C140" s="1458" t="str">
        <f>F!C230</f>
        <v>Conductivity is  [Enter the reading in µS/cm in the column to the right.]</v>
      </c>
      <c r="D140" s="1457" t="str">
        <f>IF((F!D230=""),"",F!D230)</f>
        <v/>
      </c>
      <c r="E140" s="589"/>
      <c r="F140" s="40"/>
      <c r="G140" s="570"/>
      <c r="H140" s="1670"/>
      <c r="I140" s="1670"/>
    </row>
    <row r="141" spans="1:9" ht="18" customHeight="1" x14ac:dyDescent="0.2">
      <c r="A141" s="2070"/>
      <c r="B141" s="2173"/>
      <c r="C141" s="477" t="str">
        <f>F!C231</f>
        <v>Was not measured, but plants that indicate saline conditions cover much of the vegetated AA. Enter "1".</v>
      </c>
      <c r="D141" s="49">
        <f>F!D231</f>
        <v>0</v>
      </c>
      <c r="E141" s="589"/>
      <c r="F141" s="40"/>
      <c r="G141" s="570"/>
      <c r="H141" s="1670"/>
      <c r="I141" s="1670"/>
    </row>
    <row r="142" spans="1:9" ht="18" customHeight="1" thickBot="1" x14ac:dyDescent="0.25">
      <c r="A142" s="2071"/>
      <c r="B142" s="2175"/>
      <c r="C142" s="484" t="str">
        <f>F!C232</f>
        <v>Neither of above</v>
      </c>
      <c r="D142" s="42">
        <f>F!D232</f>
        <v>0</v>
      </c>
      <c r="E142" s="590"/>
      <c r="F142" s="498"/>
      <c r="G142" s="510"/>
      <c r="H142" s="1670"/>
      <c r="I142" s="1671"/>
    </row>
    <row r="143" spans="1:9" ht="21" customHeight="1" thickBot="1" x14ac:dyDescent="0.25">
      <c r="A143" s="2134" t="str">
        <f>F!A233</f>
        <v>F49</v>
      </c>
      <c r="B143" s="2069" t="str">
        <f>F!B233</f>
        <v>Beaver Probability</v>
      </c>
      <c r="C143" s="92" t="str">
        <f>F!C233</f>
        <v>Use of the AA by beaver during the past 5 years is (select most applicable ONE):</v>
      </c>
      <c r="D143" s="126"/>
      <c r="E143" s="126"/>
      <c r="F143" s="588"/>
      <c r="G143" s="511">
        <f>IF((AllSat1&gt;0),"",MAX(F144:F146)/MAX(E144:E146))</f>
        <v>0</v>
      </c>
      <c r="H143" s="1669" t="s">
        <v>1873</v>
      </c>
      <c r="I143" s="1669" t="s">
        <v>310</v>
      </c>
    </row>
    <row r="144" spans="1:9" ht="27" customHeight="1" x14ac:dyDescent="0.2">
      <c r="A144" s="2135"/>
      <c r="B144" s="2070"/>
      <c r="C144" s="83" t="str">
        <f>F!C234</f>
        <v>Evident from direct observation or presence of gnawed limbs, dams, tracks, dens, lodges, or extensive stands of water-killed trees (snags).</v>
      </c>
      <c r="D144" s="49">
        <f>F!D234</f>
        <v>0</v>
      </c>
      <c r="E144" s="40">
        <v>3</v>
      </c>
      <c r="F144" s="44">
        <f>D144*E144</f>
        <v>0</v>
      </c>
      <c r="G144" s="569"/>
      <c r="H144" s="1670"/>
      <c r="I144" s="1670"/>
    </row>
    <row r="145" spans="1:9" ht="42" customHeight="1" x14ac:dyDescent="0.2">
      <c r="A145" s="2135"/>
      <c r="B145" s="2070"/>
      <c r="C145" s="477" t="str">
        <f>F!C235</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145" s="22">
        <f>F!D235</f>
        <v>0</v>
      </c>
      <c r="E145" s="40">
        <v>2</v>
      </c>
      <c r="F145" s="44">
        <f>D145*E145</f>
        <v>0</v>
      </c>
      <c r="G145" s="570"/>
      <c r="H145" s="1670"/>
      <c r="I145" s="1670"/>
    </row>
    <row r="146" spans="1:9" ht="27" customHeight="1" thickBot="1" x14ac:dyDescent="0.25">
      <c r="A146" s="2136"/>
      <c r="B146" s="2071"/>
      <c r="C146" s="478" t="str">
        <f>F!C236</f>
        <v xml:space="preserve">Unlikely because site characteristics above are deficient, and/or this is a settled area or other area where beaver are routinely removed. </v>
      </c>
      <c r="D146" s="97">
        <f>F!D236</f>
        <v>0</v>
      </c>
      <c r="E146" s="98">
        <v>0</v>
      </c>
      <c r="F146" s="103">
        <f>D146*E146</f>
        <v>0</v>
      </c>
      <c r="G146" s="508"/>
      <c r="H146" s="1671"/>
      <c r="I146" s="1671"/>
    </row>
    <row r="147" spans="1:9" ht="21" customHeight="1" thickBot="1" x14ac:dyDescent="0.25">
      <c r="A147" s="2135" t="str">
        <f>F!A237</f>
        <v>F50</v>
      </c>
      <c r="B147" s="2070" t="str">
        <f>F!B237</f>
        <v>Groundwater Strength of Evidence</v>
      </c>
      <c r="C147" s="483" t="str">
        <f>F!C237</f>
        <v>Select first applicable choice:</v>
      </c>
      <c r="D147" s="496"/>
      <c r="E147" s="496"/>
      <c r="F147" s="569"/>
      <c r="G147" s="497">
        <f>MAX(F148:F150)/MAX(E148:E150)</f>
        <v>0</v>
      </c>
      <c r="H147" s="1670" t="s">
        <v>1612</v>
      </c>
      <c r="I147" s="1669" t="s">
        <v>309</v>
      </c>
    </row>
    <row r="148" spans="1:9" ht="42" customHeight="1" x14ac:dyDescent="0.2">
      <c r="A148" s="2135"/>
      <c r="B148" s="2070"/>
      <c r="C148" s="83"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148" s="49">
        <f>F!D238</f>
        <v>0</v>
      </c>
      <c r="E148" s="40">
        <v>2</v>
      </c>
      <c r="F148" s="44">
        <f>D148*E148</f>
        <v>0</v>
      </c>
      <c r="G148" s="592"/>
      <c r="H148" s="1670"/>
      <c r="I148" s="1670"/>
    </row>
    <row r="149" spans="1:9" ht="27" customHeight="1" x14ac:dyDescent="0.2">
      <c r="A149" s="2135"/>
      <c r="B149" s="2070"/>
      <c r="C149" s="477" t="str">
        <f>F!C239</f>
        <v>Most of the AA has a slope of &gt;5%, or is very close to the base of a natural slope longer than 100 and much steeper than the slope of the AA,  AND the pH of surface water, if known, is &gt;5.5.</v>
      </c>
      <c r="D149" s="22">
        <f>F!D239</f>
        <v>0</v>
      </c>
      <c r="E149" s="40">
        <v>1</v>
      </c>
      <c r="F149" s="44">
        <f>D149*E149</f>
        <v>0</v>
      </c>
      <c r="G149" s="510"/>
      <c r="H149" s="1670"/>
      <c r="I149" s="1670"/>
    </row>
    <row r="150" spans="1:9" ht="27" customHeight="1" thickBot="1" x14ac:dyDescent="0.25">
      <c r="A150" s="2136"/>
      <c r="B150" s="2071"/>
      <c r="C150" s="478" t="str">
        <f>F!C240</f>
        <v>Neither of above is true, although some groundwater may discharge to or flow through the AA. Or groundwater influx is unknown.</v>
      </c>
      <c r="D150" s="97">
        <f>F!D240</f>
        <v>0</v>
      </c>
      <c r="E150" s="98">
        <v>0</v>
      </c>
      <c r="F150" s="103">
        <f>D150*E150</f>
        <v>0</v>
      </c>
      <c r="G150" s="508"/>
      <c r="H150" s="1671"/>
      <c r="I150" s="1671"/>
    </row>
    <row r="151" spans="1:9" ht="45" customHeight="1" thickBot="1" x14ac:dyDescent="0.25">
      <c r="A151" s="2061" t="str">
        <f>F!A247</f>
        <v>F52</v>
      </c>
      <c r="B151" s="2061" t="str">
        <f>F!B247</f>
        <v>Vegetated Buffer as % of Perimeter</v>
      </c>
      <c r="C151" s="483" t="str">
        <f>F!C247</f>
        <v>Within a zone extending 30 m laterally from the AA's edge with upland and/or other wetlands, the percentage that contains perennial vegetation cover (except lawns, row crops, heavily grazed land, conifer plantations) is:</v>
      </c>
      <c r="D151" s="96"/>
      <c r="E151" s="496"/>
      <c r="F151" s="46"/>
      <c r="G151" s="497">
        <f>MAX(F152:F156)/MAX(E152:E156)</f>
        <v>0</v>
      </c>
      <c r="H151" s="1937" t="s">
        <v>1527</v>
      </c>
      <c r="I151" s="1669" t="s">
        <v>297</v>
      </c>
    </row>
    <row r="152" spans="1:9" ht="16.899999999999999" customHeight="1" x14ac:dyDescent="0.2">
      <c r="A152" s="2061"/>
      <c r="B152" s="2061"/>
      <c r="C152" s="738" t="str">
        <f>F!C248</f>
        <v>&lt;5%.</v>
      </c>
      <c r="D152" s="22">
        <f>F!D248</f>
        <v>0</v>
      </c>
      <c r="E152" s="683">
        <v>0</v>
      </c>
      <c r="F152" s="40">
        <f>D152*E152</f>
        <v>0</v>
      </c>
      <c r="G152" s="569"/>
      <c r="H152" s="1938"/>
      <c r="I152" s="1670"/>
    </row>
    <row r="153" spans="1:9" ht="16.899999999999999" customHeight="1" x14ac:dyDescent="0.2">
      <c r="A153" s="2061"/>
      <c r="B153" s="2061"/>
      <c r="C153" s="739" t="str">
        <f>F!C249</f>
        <v>5 to 30%.</v>
      </c>
      <c r="D153" s="22">
        <f>F!D249</f>
        <v>0</v>
      </c>
      <c r="E153" s="683">
        <v>2</v>
      </c>
      <c r="F153" s="40">
        <f>D153*E153</f>
        <v>0</v>
      </c>
      <c r="G153" s="570"/>
      <c r="H153" s="1938"/>
      <c r="I153" s="1670"/>
    </row>
    <row r="154" spans="1:9" ht="16.899999999999999" customHeight="1" x14ac:dyDescent="0.2">
      <c r="A154" s="2061"/>
      <c r="B154" s="2061"/>
      <c r="C154" s="739" t="str">
        <f>F!C250</f>
        <v>30 to 60%.</v>
      </c>
      <c r="D154" s="22">
        <f>F!D250</f>
        <v>0</v>
      </c>
      <c r="E154" s="683">
        <v>3</v>
      </c>
      <c r="F154" s="40">
        <f>D154*E154</f>
        <v>0</v>
      </c>
      <c r="G154" s="570"/>
      <c r="H154" s="1938"/>
      <c r="I154" s="1670"/>
    </row>
    <row r="155" spans="1:9" ht="16.899999999999999" customHeight="1" x14ac:dyDescent="0.2">
      <c r="A155" s="2061"/>
      <c r="B155" s="2061"/>
      <c r="C155" s="739" t="str">
        <f>F!C251</f>
        <v>60 to 90%.</v>
      </c>
      <c r="D155" s="49">
        <f>F!D251</f>
        <v>0</v>
      </c>
      <c r="E155" s="683">
        <v>4</v>
      </c>
      <c r="F155" s="40">
        <f>D155*E155</f>
        <v>0</v>
      </c>
      <c r="G155" s="570"/>
      <c r="H155" s="1938"/>
      <c r="I155" s="1670"/>
    </row>
    <row r="156" spans="1:9" ht="16.899999999999999" customHeight="1" thickBot="1" x14ac:dyDescent="0.25">
      <c r="A156" s="2061"/>
      <c r="B156" s="2061"/>
      <c r="C156" s="733" t="str">
        <f>F!C252</f>
        <v>&gt;90%, or all the area within 30 m of the AA edge is other wetlands. SKIP to F55.</v>
      </c>
      <c r="D156" s="741">
        <f>F!D252</f>
        <v>0</v>
      </c>
      <c r="E156" s="740">
        <v>6</v>
      </c>
      <c r="F156" s="498">
        <f>D156*E156</f>
        <v>0</v>
      </c>
      <c r="G156" s="510"/>
      <c r="H156" s="1939"/>
      <c r="I156" s="1671"/>
    </row>
    <row r="157" spans="1:9" ht="30" customHeight="1" thickBot="1" x14ac:dyDescent="0.25">
      <c r="A157" s="2069" t="str">
        <f>F!A253</f>
        <v>F53</v>
      </c>
      <c r="B157" s="2069" t="str">
        <f>F!B253</f>
        <v>Type of Cover in Buffer</v>
      </c>
      <c r="C157" s="476" t="str">
        <f>F!C253</f>
        <v>Within 30 m upslope of where the wetland transitions to upland, the upland land cover that is NOT perennial vegetation is mostly (mark ONE):</v>
      </c>
      <c r="D157" s="719"/>
      <c r="E157" s="126"/>
      <c r="F157" s="100"/>
      <c r="G157" s="511">
        <f>IF((BuffAllNat=1),"", MAX(F158:F159)/MAX(E158:E159))</f>
        <v>0</v>
      </c>
      <c r="H157" s="1669" t="s">
        <v>2603</v>
      </c>
      <c r="I157" s="1669" t="s">
        <v>298</v>
      </c>
    </row>
    <row r="158" spans="1:9" ht="15" customHeight="1" x14ac:dyDescent="0.2">
      <c r="A158" s="2070"/>
      <c r="B158" s="2070"/>
      <c r="C158" s="737" t="str">
        <f>F!C254</f>
        <v>Impervious surface, e.g., paved road, parking lot, building, exposed rock.</v>
      </c>
      <c r="D158" s="22">
        <f>F!D254</f>
        <v>0</v>
      </c>
      <c r="E158" s="589">
        <v>0</v>
      </c>
      <c r="F158" s="40">
        <f>D158*E158</f>
        <v>0</v>
      </c>
      <c r="G158" s="569"/>
      <c r="H158" s="1670"/>
      <c r="I158" s="1670"/>
    </row>
    <row r="159" spans="1:9" ht="27" customHeight="1" thickBot="1" x14ac:dyDescent="0.25">
      <c r="A159" s="2070"/>
      <c r="B159" s="2070"/>
      <c r="C159" s="21" t="str">
        <f>F!C255</f>
        <v>Bare or nearly bare pervious surface or managed vegetation, e.g., lawn, row crops, unpaved road, dike, landslide.</v>
      </c>
      <c r="D159" s="97">
        <f>F!D255</f>
        <v>0</v>
      </c>
      <c r="E159" s="590">
        <v>1</v>
      </c>
      <c r="F159" s="498">
        <f>D159*E159</f>
        <v>0</v>
      </c>
      <c r="G159" s="510"/>
      <c r="H159" s="1670"/>
      <c r="I159" s="1671"/>
    </row>
    <row r="160" spans="1:9" ht="21" customHeight="1" thickBot="1" x14ac:dyDescent="0.25">
      <c r="A160" s="2069" t="str">
        <f>F!A269</f>
        <v>F57</v>
      </c>
      <c r="B160" s="2069" t="str">
        <f>F!B269</f>
        <v>Burn History</v>
      </c>
      <c r="C160" s="476" t="str">
        <f>F!C269</f>
        <v>More than 1% of the AA's previously vegetated area:</v>
      </c>
      <c r="D160" s="512"/>
      <c r="E160" s="126"/>
      <c r="F160" s="100"/>
      <c r="G160" s="999">
        <f>IF((D164=1),"",MAX(F161:F164)/MAX(E161:E164))</f>
        <v>0</v>
      </c>
      <c r="H160" s="1669" t="s">
        <v>1618</v>
      </c>
      <c r="I160" s="1669" t="s">
        <v>1614</v>
      </c>
    </row>
    <row r="161" spans="1:9" ht="15" customHeight="1" x14ac:dyDescent="0.2">
      <c r="A161" s="2070"/>
      <c r="B161" s="2070"/>
      <c r="C161" s="83" t="str">
        <f>F!C270</f>
        <v>Burned within past 5 years.</v>
      </c>
      <c r="D161" s="22">
        <f>F!D270</f>
        <v>0</v>
      </c>
      <c r="E161" s="187">
        <v>4</v>
      </c>
      <c r="F161" s="187">
        <f>D161*E161</f>
        <v>0</v>
      </c>
      <c r="G161" s="569"/>
      <c r="H161" s="1670"/>
      <c r="I161" s="1670"/>
    </row>
    <row r="162" spans="1:9" ht="15" customHeight="1" x14ac:dyDescent="0.2">
      <c r="A162" s="2070"/>
      <c r="B162" s="2070"/>
      <c r="C162" s="477" t="str">
        <f>F!C271</f>
        <v>Burned 6-10 years ago.</v>
      </c>
      <c r="D162" s="22">
        <f>F!D271</f>
        <v>0</v>
      </c>
      <c r="E162" s="187">
        <v>3</v>
      </c>
      <c r="F162" s="187">
        <f>D162*E162</f>
        <v>0</v>
      </c>
      <c r="G162" s="570"/>
      <c r="H162" s="1670"/>
      <c r="I162" s="1670"/>
    </row>
    <row r="163" spans="1:9" ht="15" customHeight="1" x14ac:dyDescent="0.2">
      <c r="A163" s="2070"/>
      <c r="B163" s="2070"/>
      <c r="C163" s="477" t="str">
        <f>F!C272</f>
        <v>Burned 11-30 years ago.</v>
      </c>
      <c r="D163" s="22">
        <f>F!D272</f>
        <v>0</v>
      </c>
      <c r="E163" s="187">
        <v>2</v>
      </c>
      <c r="F163" s="187">
        <f>D163*E163</f>
        <v>0</v>
      </c>
      <c r="G163" s="570"/>
      <c r="H163" s="1670"/>
      <c r="I163" s="1670"/>
    </row>
    <row r="164" spans="1:9" ht="15" customHeight="1" thickBot="1" x14ac:dyDescent="0.25">
      <c r="A164" s="2071"/>
      <c r="B164" s="2071"/>
      <c r="C164" s="478" t="str">
        <f>F!C273</f>
        <v>Burned &gt;30 years ago, or no evidence of a burn and no data.</v>
      </c>
      <c r="D164" s="97">
        <f>F!D273</f>
        <v>0</v>
      </c>
      <c r="E164" s="188">
        <v>1</v>
      </c>
      <c r="F164" s="187">
        <f>D164*E164</f>
        <v>0</v>
      </c>
      <c r="G164" s="508"/>
      <c r="H164" s="1671"/>
      <c r="I164" s="1671"/>
    </row>
    <row r="165" spans="1:9" ht="60" customHeight="1" thickBot="1" x14ac:dyDescent="0.25">
      <c r="A165" s="2137" t="str">
        <f>F!A282</f>
        <v>F60</v>
      </c>
      <c r="B165" s="2137" t="str">
        <f>F!B282</f>
        <v xml:space="preserve">Unvisited Core Area </v>
      </c>
      <c r="C165" s="476" t="str">
        <f>F!C282</f>
        <v>The percentage of the AA almost never visited by humans during an average growing season probably comprises: [Note: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v>
      </c>
      <c r="D165" s="719"/>
      <c r="E165" s="126"/>
      <c r="F165" s="100"/>
      <c r="G165" s="511">
        <f>MAX(F166:F171)/MAX(E166:E171)</f>
        <v>0</v>
      </c>
      <c r="H165" s="1971" t="s">
        <v>1620</v>
      </c>
      <c r="I165" s="1669" t="s">
        <v>299</v>
      </c>
    </row>
    <row r="166" spans="1:9" ht="15" customHeight="1" x14ac:dyDescent="0.2">
      <c r="A166" s="2061"/>
      <c r="B166" s="2061"/>
      <c r="C166" s="735" t="str">
        <f>F!C283</f>
        <v>&lt;5% and no inhabited building is within 100 m of the AA.</v>
      </c>
      <c r="D166" s="49">
        <f>F!D283</f>
        <v>0</v>
      </c>
      <c r="E166" s="672">
        <v>1</v>
      </c>
      <c r="F166" s="40">
        <f t="shared" ref="F166:F171" si="7">D166*E166</f>
        <v>0</v>
      </c>
      <c r="G166" s="569"/>
      <c r="H166" s="1938"/>
      <c r="I166" s="1670"/>
    </row>
    <row r="167" spans="1:9" ht="15" customHeight="1" x14ac:dyDescent="0.2">
      <c r="A167" s="2061"/>
      <c r="B167" s="2061"/>
      <c r="C167" s="477" t="str">
        <f>F!C284</f>
        <v>&lt;5% and inhabited building is within 100 m of the AA.</v>
      </c>
      <c r="D167" s="736">
        <f>F!D284</f>
        <v>0</v>
      </c>
      <c r="E167" s="672">
        <v>0</v>
      </c>
      <c r="F167" s="40">
        <f t="shared" si="7"/>
        <v>0</v>
      </c>
      <c r="G167" s="570"/>
      <c r="H167" s="1938"/>
      <c r="I167" s="1670"/>
    </row>
    <row r="168" spans="1:9" ht="15" customHeight="1" x14ac:dyDescent="0.2">
      <c r="A168" s="2061"/>
      <c r="B168" s="2061"/>
      <c r="C168" s="477" t="str">
        <f>F!C285</f>
        <v>5-50% and no inhabited building is within 100 m of the AA.</v>
      </c>
      <c r="D168" s="22">
        <f>F!D285</f>
        <v>0</v>
      </c>
      <c r="E168" s="672">
        <v>3</v>
      </c>
      <c r="F168" s="40">
        <f t="shared" si="7"/>
        <v>0</v>
      </c>
      <c r="G168" s="570"/>
      <c r="H168" s="1938"/>
      <c r="I168" s="1670"/>
    </row>
    <row r="169" spans="1:9" ht="15" customHeight="1" x14ac:dyDescent="0.2">
      <c r="A169" s="2061"/>
      <c r="B169" s="2061"/>
      <c r="C169" s="477" t="str">
        <f>F!C286</f>
        <v>5-50% and inhabited building is within 100 m of the AA.</v>
      </c>
      <c r="D169" s="22">
        <f>F!D286</f>
        <v>0</v>
      </c>
      <c r="E169" s="672">
        <v>2</v>
      </c>
      <c r="F169" s="40">
        <f t="shared" si="7"/>
        <v>0</v>
      </c>
      <c r="G169" s="510"/>
      <c r="H169" s="1938"/>
      <c r="I169" s="1670"/>
    </row>
    <row r="170" spans="1:9" ht="15" customHeight="1" x14ac:dyDescent="0.2">
      <c r="A170" s="2061"/>
      <c r="B170" s="2061"/>
      <c r="C170" s="477" t="str">
        <f>F!C287</f>
        <v>50-95%, with or without inhabited building nearby.</v>
      </c>
      <c r="D170" s="736">
        <f>F!D287</f>
        <v>0</v>
      </c>
      <c r="E170" s="672">
        <v>4</v>
      </c>
      <c r="F170" s="40">
        <f t="shared" si="7"/>
        <v>0</v>
      </c>
      <c r="G170" s="510"/>
      <c r="H170" s="1938"/>
      <c r="I170" s="1670"/>
    </row>
    <row r="171" spans="1:9" ht="15" customHeight="1" thickBot="1" x14ac:dyDescent="0.25">
      <c r="A171" s="2062"/>
      <c r="B171" s="2062"/>
      <c r="C171" s="726" t="str">
        <f>F!C288</f>
        <v>&gt;95% of the AA with or without inhabited building nearby.</v>
      </c>
      <c r="D171" s="97">
        <f>F!D288</f>
        <v>0</v>
      </c>
      <c r="E171" s="707">
        <v>5</v>
      </c>
      <c r="F171" s="98">
        <f t="shared" si="7"/>
        <v>0</v>
      </c>
      <c r="G171" s="508"/>
      <c r="H171" s="1972"/>
      <c r="I171" s="1671"/>
    </row>
    <row r="172" spans="1:9" ht="30" customHeight="1" thickBot="1" x14ac:dyDescent="0.25">
      <c r="A172" s="2061" t="str">
        <f>F!A289</f>
        <v>F61</v>
      </c>
      <c r="B172" s="2137" t="str">
        <f>F!B289</f>
        <v>Frequently Visited Area</v>
      </c>
      <c r="C172" s="476" t="str">
        <f>F!C289</f>
        <v>The part of the AA visited by humans almost daily for several weeks during an average growing season probably comprises:  [See note above.]</v>
      </c>
      <c r="D172" s="685"/>
      <c r="E172" s="217"/>
      <c r="F172" s="46"/>
      <c r="G172" s="497">
        <f>MAX(F173:F176)/MAX(E173:E176)</f>
        <v>0</v>
      </c>
      <c r="H172" s="1937" t="s">
        <v>87</v>
      </c>
      <c r="I172" s="1669" t="s">
        <v>300</v>
      </c>
    </row>
    <row r="173" spans="1:9" ht="15" customHeight="1" x14ac:dyDescent="0.2">
      <c r="A173" s="2061"/>
      <c r="B173" s="2061"/>
      <c r="C173" s="735" t="str">
        <f>F!C290</f>
        <v>&lt;5%. If F60 was answered "&gt;95%" (mostly never visited), SKIP to F64.</v>
      </c>
      <c r="D173" s="22">
        <f>F!D290</f>
        <v>0</v>
      </c>
      <c r="E173" s="672">
        <v>3</v>
      </c>
      <c r="F173" s="40">
        <f>D173*E173</f>
        <v>0</v>
      </c>
      <c r="G173" s="569"/>
      <c r="H173" s="1938"/>
      <c r="I173" s="1670"/>
    </row>
    <row r="174" spans="1:9" ht="15" customHeight="1" x14ac:dyDescent="0.2">
      <c r="A174" s="2061"/>
      <c r="B174" s="2061"/>
      <c r="C174" s="477" t="str">
        <f>F!C291</f>
        <v>5-50%.</v>
      </c>
      <c r="D174" s="22">
        <f>F!D291</f>
        <v>0</v>
      </c>
      <c r="E174" s="672">
        <v>2</v>
      </c>
      <c r="F174" s="40">
        <f>D174*E174</f>
        <v>0</v>
      </c>
      <c r="G174" s="570"/>
      <c r="H174" s="1938"/>
      <c r="I174" s="1670"/>
    </row>
    <row r="175" spans="1:9" ht="15" customHeight="1" x14ac:dyDescent="0.2">
      <c r="A175" s="2061"/>
      <c r="B175" s="2061"/>
      <c r="C175" s="477" t="str">
        <f>F!C292</f>
        <v>50-95%.</v>
      </c>
      <c r="D175" s="22">
        <f>F!D292</f>
        <v>0</v>
      </c>
      <c r="E175" s="672">
        <v>1</v>
      </c>
      <c r="F175" s="40">
        <f>D175*E175</f>
        <v>0</v>
      </c>
      <c r="G175" s="570"/>
      <c r="H175" s="1938"/>
      <c r="I175" s="1670"/>
    </row>
    <row r="176" spans="1:9" ht="15" customHeight="1" thickBot="1" x14ac:dyDescent="0.25">
      <c r="A176" s="2061"/>
      <c r="B176" s="2062"/>
      <c r="C176" s="478" t="str">
        <f>F!C293</f>
        <v>&gt;95% of the AA.</v>
      </c>
      <c r="D176" s="734">
        <f>F!D293</f>
        <v>0</v>
      </c>
      <c r="E176" s="215">
        <v>0</v>
      </c>
      <c r="F176" s="498">
        <f>D176*E176</f>
        <v>0</v>
      </c>
      <c r="G176" s="510"/>
      <c r="H176" s="1939"/>
      <c r="I176" s="1671"/>
    </row>
    <row r="177" spans="1:10" ht="60" customHeight="1" thickBot="1" x14ac:dyDescent="0.25">
      <c r="A177" s="476" t="str">
        <f>F!A294</f>
        <v>F62</v>
      </c>
      <c r="B177" s="476" t="str">
        <f>F!B294</f>
        <v>BMP - Soils</v>
      </c>
      <c r="C177" s="579" t="str">
        <f>F!C294</f>
        <v>Boardwalks, paved trails, fences or other infrastructure and/or well-enforced regulations appear to effectively prevent visitors from walking on soil within nearly all of the AA when the soil is unfrozen. Enter "1" if true.</v>
      </c>
      <c r="D177" s="167">
        <f>F!D294</f>
        <v>0</v>
      </c>
      <c r="E177" s="220"/>
      <c r="F177" s="514"/>
      <c r="G177" s="511">
        <f>IF((D171+D173&gt;1),"",D177)</f>
        <v>0</v>
      </c>
      <c r="H177" s="3" t="s">
        <v>1479</v>
      </c>
      <c r="I177" s="3" t="s">
        <v>1044</v>
      </c>
    </row>
    <row r="178" spans="1:10" ht="60" customHeight="1" thickBot="1" x14ac:dyDescent="0.25">
      <c r="A178" s="92" t="str">
        <f>F!A307</f>
        <v>F66</v>
      </c>
      <c r="B178" s="476" t="str">
        <f>F!B307</f>
        <v>Calcareous Fen</v>
      </c>
      <c r="C178" s="579" t="str">
        <f>F!C307</f>
        <v xml:space="preserve">The AA is, or is part of, a calcareous fen. See the Plants_Calcar worksheet in the accompanying SuppInfo file for list of plant indicators (calciphiles). Enter 1 If more than two Strong or more than five Moderate calciphile species are present; otherwise enter 0, but if not able to identify those and no information, change to blank. </v>
      </c>
      <c r="D178" s="167" t="str">
        <f>IF((F!D307=""),"",F!D307)</f>
        <v/>
      </c>
      <c r="E178" s="220"/>
      <c r="F178" s="95"/>
      <c r="G178" s="511" t="str">
        <f>IF((F!D307=""),"", IF((D178=1),1,""))</f>
        <v/>
      </c>
      <c r="H178" s="3" t="s">
        <v>1622</v>
      </c>
      <c r="I178" s="3" t="s">
        <v>1337</v>
      </c>
    </row>
    <row r="179" spans="1:10" ht="153" customHeight="1" thickBot="1" x14ac:dyDescent="0.25">
      <c r="A179" s="789" t="str">
        <f>S!A3</f>
        <v>S1</v>
      </c>
      <c r="B179" s="793" t="str">
        <f>S!B3</f>
        <v>Aberrant Timing of Water Inputs</v>
      </c>
      <c r="C179" s="791" t="str">
        <f>S!E24</f>
        <v>Stressor subscore=</v>
      </c>
      <c r="D179" s="798">
        <f>S!F24</f>
        <v>0</v>
      </c>
      <c r="E179" s="685"/>
      <c r="F179" s="799"/>
      <c r="G179" s="800" t="str">
        <f>IF((InfloPD=0),"", 1-D179)</f>
        <v/>
      </c>
      <c r="H179" s="3" t="s">
        <v>1615</v>
      </c>
      <c r="I179" s="3" t="s">
        <v>304</v>
      </c>
    </row>
    <row r="180" spans="1:10" ht="45" customHeight="1" thickBot="1" x14ac:dyDescent="0.25">
      <c r="A180" s="790" t="str">
        <f>S!A25</f>
        <v>S2</v>
      </c>
      <c r="B180" s="789" t="str">
        <f>S!B25</f>
        <v>Accelerated Inputs of Contaminants and/or Salts</v>
      </c>
      <c r="C180" s="802" t="str">
        <f>S!E37</f>
        <v>Stressor subscore=</v>
      </c>
      <c r="D180" s="796">
        <f>S!F37</f>
        <v>0</v>
      </c>
      <c r="E180" s="514"/>
      <c r="F180" s="687"/>
      <c r="G180" s="564">
        <f>1-D180</f>
        <v>1</v>
      </c>
      <c r="H180" s="68" t="s">
        <v>1787</v>
      </c>
      <c r="I180" s="3" t="s">
        <v>1789</v>
      </c>
    </row>
    <row r="181" spans="1:10" ht="45" customHeight="1" thickBot="1" x14ac:dyDescent="0.25">
      <c r="A181" s="794" t="str">
        <f>S!A51</f>
        <v>S4</v>
      </c>
      <c r="B181" s="794" t="str">
        <f>S!B51</f>
        <v>Excessive Sediment Loading from Contributing Area</v>
      </c>
      <c r="C181" s="797" t="str">
        <f>S!E68</f>
        <v>Stressor subscore=</v>
      </c>
      <c r="D181" s="801">
        <f>S!F68</f>
        <v>0</v>
      </c>
      <c r="E181" s="585"/>
      <c r="F181" s="596"/>
      <c r="G181" s="701">
        <f>1-D181</f>
        <v>1</v>
      </c>
      <c r="H181" s="3" t="s">
        <v>1785</v>
      </c>
      <c r="I181" s="3" t="s">
        <v>1790</v>
      </c>
    </row>
    <row r="182" spans="1:10" ht="75" customHeight="1" thickBot="1" x14ac:dyDescent="0.25">
      <c r="A182" s="108" t="str">
        <f>S!A69</f>
        <v>S5</v>
      </c>
      <c r="B182" s="788" t="str">
        <f>S!B69</f>
        <v>Soil or Sediment Alteration Within the Assessment Area</v>
      </c>
      <c r="C182" s="792" t="str">
        <f>S!E86</f>
        <v>Stressor subscore=</v>
      </c>
      <c r="D182" s="795">
        <f>S!F86</f>
        <v>0</v>
      </c>
      <c r="E182" s="585"/>
      <c r="F182" s="627"/>
      <c r="G182" s="497">
        <f>1-D182</f>
        <v>1</v>
      </c>
      <c r="H182" s="787" t="s">
        <v>1782</v>
      </c>
      <c r="I182" s="3" t="s">
        <v>2880</v>
      </c>
    </row>
    <row r="183" spans="1:10" s="58" customFormat="1" ht="36" customHeight="1" thickBot="1" x14ac:dyDescent="0.25">
      <c r="A183" s="863" t="s">
        <v>88</v>
      </c>
      <c r="B183" s="864" t="s">
        <v>1901</v>
      </c>
      <c r="C183" s="866" t="s">
        <v>1164</v>
      </c>
      <c r="D183" s="865" t="s">
        <v>45</v>
      </c>
      <c r="E183" s="927" t="s">
        <v>1188</v>
      </c>
      <c r="F183" s="1012" t="s">
        <v>1189</v>
      </c>
      <c r="G183" s="929" t="s">
        <v>2558</v>
      </c>
      <c r="H183" s="850" t="s">
        <v>473</v>
      </c>
      <c r="I183" s="850" t="s">
        <v>2427</v>
      </c>
    </row>
    <row r="184" spans="1:10" ht="114" customHeight="1" thickBot="1" x14ac:dyDescent="0.25">
      <c r="A184" s="92" t="str">
        <f>OF!A39</f>
        <v>OF6</v>
      </c>
      <c r="B184" s="92" t="str">
        <f>OF!B39</f>
        <v>Herbaceous Uniqueness</v>
      </c>
      <c r="C184" s="109" t="str">
        <f>OF!C39</f>
        <v xml:space="preserve">The AA's vegetation cover is &gt;10% herbaceous* but uplands within 5 km have &lt;10% herbaceous cover. If so, enter "3" and continue to OF7.  If not, consider: 
The AA's vegetation cover is &gt;10% herbaceous* but uplands within 1 km have &lt;10% herbaceous cover. If so enter "2" and continue to OF7.  If not, consider: 
The AA's vegetation cover is &gt;10% herbaceous* but uplands within 100 m of the wetland edge have &lt;10% herbaceous cover.  If so, enter "1".
[* NOTE: Exclude lawns, row crops, heavily grazed lands, forest, shrublands. Include moss as well as grasslike plants in this use of "herbaceous vegetation"]
</v>
      </c>
      <c r="D184" s="664">
        <f>OF!D39</f>
        <v>0</v>
      </c>
      <c r="E184" s="514"/>
      <c r="F184" s="95"/>
      <c r="G184" s="565">
        <f>D184/3</f>
        <v>0</v>
      </c>
      <c r="H184" s="245" t="s">
        <v>2237</v>
      </c>
      <c r="I184" s="3" t="s">
        <v>1338</v>
      </c>
    </row>
    <row r="185" spans="1:10" ht="102" customHeight="1" thickBot="1" x14ac:dyDescent="0.25">
      <c r="A185" s="92" t="str">
        <f>OF!A40</f>
        <v>OF7</v>
      </c>
      <c r="B185" s="92" t="str">
        <f>OF!B40</f>
        <v>Woody Uniqueness</v>
      </c>
      <c r="C185" s="109" t="str">
        <f>OF!C40</f>
        <v xml:space="preserve">The AA's vegetation cover is &gt;10% woody* but uplands within 5 km have &lt;10% woody cover. If so, enter "3" and continue to OF8.  If not, consider: 
The AA's vegetation is &gt;10% woody* but uplands within 1 km have &lt;10% woody cover. If so enter "2" and continue to OF8.  If not, consider: 
The AA's vegetation is &gt;10%  woody* but uplands within 100 m of the wetland edge have &lt;10% woody cover.  If so, enter "1"  
 [* NOTE: woody cover = trees &amp; shrubs taller than 1 m.]
</v>
      </c>
      <c r="D185" s="664">
        <f>OF!D40</f>
        <v>0</v>
      </c>
      <c r="E185" s="514"/>
      <c r="F185" s="95"/>
      <c r="G185" s="565">
        <f>D185/3</f>
        <v>0</v>
      </c>
      <c r="H185" s="240" t="s">
        <v>2238</v>
      </c>
      <c r="I185" s="3" t="s">
        <v>2879</v>
      </c>
    </row>
    <row r="186" spans="1:10" ht="45" customHeight="1" thickBot="1" x14ac:dyDescent="0.25">
      <c r="A186" s="729" t="str">
        <f>OF!A139</f>
        <v>OF29</v>
      </c>
      <c r="B186" s="704" t="str">
        <f>OF!B139</f>
        <v>Species of Conservation Concern</v>
      </c>
      <c r="C186" s="107" t="str">
        <f>OF!C140</f>
        <v xml:space="preserve">Presence of one or more of the plant species listed in the Plants_Rare worksheet of the accompanying SuppInfo file, or the AA is within a mapped Atlantic Coastal Plain Flora Buffer </v>
      </c>
      <c r="D186" s="730">
        <f>OF!D140</f>
        <v>0</v>
      </c>
      <c r="E186" s="96"/>
      <c r="F186" s="766"/>
      <c r="G186" s="773">
        <f>D186</f>
        <v>0</v>
      </c>
      <c r="H186" s="645" t="s">
        <v>44</v>
      </c>
      <c r="I186" s="3" t="s">
        <v>1339</v>
      </c>
    </row>
    <row r="187" spans="1:10" ht="30" customHeight="1" thickBot="1" x14ac:dyDescent="0.25">
      <c r="A187" s="578"/>
      <c r="B187" s="731" t="str">
        <f>POL!C93</f>
        <v>Function Score for Pollinator Habitat</v>
      </c>
      <c r="C187" s="732"/>
      <c r="D187" s="514"/>
      <c r="E187" s="514"/>
      <c r="F187" s="95"/>
      <c r="G187" s="565">
        <f>POL!G93/10</f>
        <v>6.6666666666666666E-2</v>
      </c>
      <c r="H187" s="240" t="s">
        <v>59</v>
      </c>
      <c r="I187" s="3" t="s">
        <v>305</v>
      </c>
    </row>
    <row r="188" spans="1:10" ht="45" customHeight="1" thickBot="1" x14ac:dyDescent="0.25">
      <c r="A188" s="578"/>
      <c r="B188" s="445" t="str">
        <f>SBM!C186</f>
        <v>Function Score for Songbird, Raptor, &amp; Mammal Habitat</v>
      </c>
      <c r="C188" s="582"/>
      <c r="D188" s="596"/>
      <c r="E188" s="596"/>
      <c r="F188" s="597"/>
      <c r="G188" s="451">
        <f>SBM!G186/10</f>
        <v>0</v>
      </c>
      <c r="H188" s="245" t="s">
        <v>416</v>
      </c>
      <c r="I188" s="3" t="s">
        <v>318</v>
      </c>
    </row>
    <row r="189" spans="1:10" ht="21" customHeight="1" thickBot="1" x14ac:dyDescent="0.25">
      <c r="A189" s="803"/>
      <c r="B189" s="803"/>
      <c r="C189" s="803"/>
      <c r="D189" s="2146"/>
      <c r="E189" s="2146"/>
      <c r="F189" s="2146"/>
      <c r="G189" s="2146"/>
      <c r="H189" s="2146"/>
    </row>
    <row r="190" spans="1:10" s="21" customFormat="1" ht="21" customHeight="1" x14ac:dyDescent="0.2">
      <c r="A190" s="27"/>
      <c r="B190" s="27"/>
      <c r="C190" s="27"/>
      <c r="D190" s="1846" t="s">
        <v>611</v>
      </c>
      <c r="E190" s="1847"/>
      <c r="F190" s="1847"/>
      <c r="G190" s="916">
        <f>AVERAGE(WidthPD, SizePD, SizeVegConnec15,SatPctPD)</f>
        <v>0</v>
      </c>
      <c r="H190" s="1029" t="s">
        <v>2055</v>
      </c>
      <c r="I190" s="1030" t="s">
        <v>2169</v>
      </c>
      <c r="J190" s="56"/>
    </row>
    <row r="191" spans="1:10" s="21" customFormat="1" ht="21" customHeight="1" x14ac:dyDescent="0.2">
      <c r="A191" s="27"/>
      <c r="B191" s="27"/>
      <c r="C191" s="27"/>
      <c r="D191" s="1915" t="s">
        <v>118</v>
      </c>
      <c r="E191" s="1916"/>
      <c r="F191" s="1916"/>
      <c r="G191" s="917">
        <f>AVERAGE(BeaverPD, NatVegCApd, BuffLUpd, DistBig15,VegPct5k15, PondProx15)</f>
        <v>0</v>
      </c>
      <c r="H191" s="1016" t="s">
        <v>1340</v>
      </c>
      <c r="I191" s="1031" t="s">
        <v>2170</v>
      </c>
      <c r="J191" s="56"/>
    </row>
    <row r="192" spans="1:10" s="21" customFormat="1" ht="30" customHeight="1" x14ac:dyDescent="0.2">
      <c r="A192" s="27"/>
      <c r="B192" s="27"/>
      <c r="C192" s="27"/>
      <c r="D192" s="1915" t="s">
        <v>316</v>
      </c>
      <c r="E192" s="1916"/>
      <c r="F192" s="1916"/>
      <c r="G192" s="917">
        <f>AVERAGE(InFlowPD,MAX(CalcFen15,Conduc20, Acidic20),AVERAGE(InterspersPD,FlucPD, SeasWpctPD, GWpd, Depth15))</f>
        <v>0</v>
      </c>
      <c r="H192" s="1016" t="s">
        <v>2299</v>
      </c>
      <c r="I192" s="1031" t="s">
        <v>2171</v>
      </c>
      <c r="J192" s="56"/>
    </row>
    <row r="193" spans="1:10" s="21" customFormat="1" ht="21" customHeight="1" x14ac:dyDescent="0.2">
      <c r="A193" s="27"/>
      <c r="B193" s="27"/>
      <c r="C193" s="27"/>
      <c r="D193" s="1915" t="s">
        <v>317</v>
      </c>
      <c r="E193" s="1916"/>
      <c r="F193" s="1916"/>
      <c r="G193" s="917">
        <f>AVERAGE(NfixPD, SoilTexPD, GDDpd)</f>
        <v>0</v>
      </c>
      <c r="H193" s="1016" t="s">
        <v>2285</v>
      </c>
      <c r="I193" s="1031" t="s">
        <v>2172</v>
      </c>
      <c r="J193" s="56"/>
    </row>
    <row r="194" spans="1:10" s="21" customFormat="1" ht="30" customHeight="1" x14ac:dyDescent="0.2">
      <c r="A194" s="27"/>
      <c r="B194" s="27"/>
      <c r="C194" s="27"/>
      <c r="D194" s="1915" t="s">
        <v>612</v>
      </c>
      <c r="E194" s="1916"/>
      <c r="F194" s="1916"/>
      <c r="G194" s="917">
        <f>AVERAGE(Invas15, AVERAGE(WoodyHtDiv15, WoodHerbMix15,herbdom15,WoodSpDom15, Burn20,GirregPD))</f>
        <v>0</v>
      </c>
      <c r="H194" s="1016" t="s">
        <v>1682</v>
      </c>
      <c r="I194" s="1031" t="s">
        <v>2173</v>
      </c>
      <c r="J194" s="56"/>
    </row>
    <row r="195" spans="1:10" s="21" customFormat="1" ht="30" customHeight="1" thickBot="1" x14ac:dyDescent="0.25">
      <c r="A195" s="27"/>
      <c r="B195" s="27"/>
      <c r="C195" s="27"/>
      <c r="D195" s="1844" t="s">
        <v>451</v>
      </c>
      <c r="E195" s="1845"/>
      <c r="F195" s="1845"/>
      <c r="G195" s="918">
        <f>(AVERAGE(Core1pd, Core2pd, BMPsoils20,WeedSourcePD) + AVERAGE(PopCtr15, DistRdPD) + MIN( AltTime20, Salt20, SedDep20,SedDisturb20))/3</f>
        <v>0.33333333333333331</v>
      </c>
      <c r="H195" s="1032" t="s">
        <v>2056</v>
      </c>
      <c r="I195" s="1033" t="s">
        <v>2174</v>
      </c>
      <c r="J195" s="56"/>
    </row>
    <row r="196" spans="1:10" ht="21" customHeight="1" thickBot="1" x14ac:dyDescent="0.25">
      <c r="B196" s="27"/>
      <c r="C196" s="27"/>
      <c r="D196" s="2161"/>
      <c r="E196" s="2161"/>
      <c r="F196" s="2161"/>
      <c r="G196" s="2161"/>
      <c r="H196" s="2138"/>
    </row>
    <row r="197" spans="1:10" ht="30" customHeight="1" thickBot="1" x14ac:dyDescent="0.25">
      <c r="A197" s="2138"/>
      <c r="B197" s="2160"/>
      <c r="C197" s="2157" t="s">
        <v>70</v>
      </c>
      <c r="D197" s="2158"/>
      <c r="E197" s="2159"/>
      <c r="F197" s="915" t="s">
        <v>52</v>
      </c>
      <c r="G197" s="975">
        <f>IF((InvasDom1=1),0, 10*((4*SppArea + 3*CompetPD + 2*AqFertilPD + 2*TerrFertilPD + LscapePD + StressPD)/13))</f>
        <v>0.25641025641025639</v>
      </c>
      <c r="H197" s="1807" t="s">
        <v>2405</v>
      </c>
      <c r="I197" s="1808"/>
    </row>
    <row r="198" spans="1:10" ht="30" customHeight="1" thickBot="1" x14ac:dyDescent="0.25">
      <c r="A198" s="2138"/>
      <c r="B198" s="2160"/>
      <c r="C198" s="2157" t="s">
        <v>1918</v>
      </c>
      <c r="D198" s="2158"/>
      <c r="E198" s="2159"/>
      <c r="F198" s="915" t="s">
        <v>2223</v>
      </c>
      <c r="G198" s="1011">
        <f>10*((IF((RarePsp20=1),1, AVERAGE(ScoreSBM, MAX(HerbUniq20,WoodyUniq20), ScorePOLf))))</f>
        <v>0.22222222222222224</v>
      </c>
      <c r="H198" s="1807" t="s">
        <v>2406</v>
      </c>
      <c r="I198" s="1808"/>
    </row>
    <row r="199" spans="1:10" ht="21" customHeight="1" thickBot="1" x14ac:dyDescent="0.25">
      <c r="B199" s="27"/>
      <c r="C199" s="27"/>
      <c r="D199" s="27"/>
      <c r="E199" s="27"/>
      <c r="F199" s="27"/>
      <c r="G199" s="27"/>
    </row>
    <row r="200" spans="1:10" ht="21" customHeight="1" thickBot="1" x14ac:dyDescent="0.25">
      <c r="B200" s="27"/>
      <c r="C200" s="27"/>
      <c r="D200" s="27"/>
      <c r="E200" s="27"/>
      <c r="F200" s="27"/>
      <c r="G200" s="27"/>
      <c r="H200" s="1913" t="s">
        <v>669</v>
      </c>
      <c r="I200" s="1914"/>
    </row>
    <row r="201" spans="1:10" ht="42" customHeight="1" x14ac:dyDescent="0.2">
      <c r="B201" s="27"/>
      <c r="C201" s="27"/>
      <c r="D201" s="27"/>
      <c r="E201" s="27"/>
      <c r="F201" s="27"/>
      <c r="G201" s="27"/>
      <c r="H201" s="1966" t="s">
        <v>792</v>
      </c>
      <c r="I201" s="1967"/>
    </row>
    <row r="202" spans="1:10" ht="42" customHeight="1" x14ac:dyDescent="0.2">
      <c r="B202" s="27"/>
      <c r="C202" s="27"/>
      <c r="D202" s="27"/>
      <c r="E202" s="27"/>
      <c r="F202" s="27"/>
      <c r="G202" s="27"/>
      <c r="H202" s="1792" t="s">
        <v>913</v>
      </c>
      <c r="I202" s="1793"/>
    </row>
    <row r="203" spans="1:10" ht="42" customHeight="1" x14ac:dyDescent="0.2">
      <c r="B203" s="27"/>
      <c r="C203" s="27"/>
      <c r="D203" s="27"/>
      <c r="E203" s="27"/>
      <c r="F203" s="27"/>
      <c r="G203" s="27"/>
      <c r="H203" s="1792" t="s">
        <v>1779</v>
      </c>
      <c r="I203" s="1793"/>
    </row>
    <row r="204" spans="1:10" ht="27" customHeight="1" x14ac:dyDescent="0.2">
      <c r="B204" s="27"/>
      <c r="C204" s="27"/>
      <c r="D204" s="27"/>
      <c r="E204" s="27"/>
      <c r="F204" s="27"/>
      <c r="G204" s="27"/>
      <c r="H204" s="1792" t="s">
        <v>914</v>
      </c>
      <c r="I204" s="1793"/>
    </row>
    <row r="205" spans="1:10" ht="42" customHeight="1" x14ac:dyDescent="0.2">
      <c r="B205" s="27"/>
      <c r="C205" s="27"/>
      <c r="D205" s="27"/>
      <c r="E205" s="27"/>
      <c r="F205" s="27"/>
      <c r="G205" s="27"/>
      <c r="H205" s="1792" t="s">
        <v>718</v>
      </c>
      <c r="I205" s="1793"/>
    </row>
    <row r="206" spans="1:10" ht="27" customHeight="1" x14ac:dyDescent="0.2">
      <c r="B206" s="27"/>
      <c r="C206" s="27"/>
      <c r="D206" s="27"/>
      <c r="E206" s="27"/>
      <c r="F206" s="27"/>
      <c r="G206" s="27"/>
      <c r="H206" s="1792" t="s">
        <v>915</v>
      </c>
      <c r="I206" s="1793"/>
    </row>
    <row r="207" spans="1:10" ht="27" customHeight="1" x14ac:dyDescent="0.2">
      <c r="B207" s="27"/>
      <c r="C207" s="27"/>
      <c r="D207" s="27"/>
      <c r="E207" s="27"/>
      <c r="F207" s="27"/>
      <c r="G207" s="27"/>
      <c r="H207" s="1792" t="s">
        <v>916</v>
      </c>
      <c r="I207" s="1793"/>
    </row>
    <row r="208" spans="1:10" ht="27" customHeight="1" x14ac:dyDescent="0.2">
      <c r="B208" s="27"/>
      <c r="C208" s="27"/>
      <c r="D208" s="27"/>
      <c r="E208" s="27"/>
      <c r="F208" s="27"/>
      <c r="G208" s="27"/>
      <c r="H208" s="1792" t="s">
        <v>917</v>
      </c>
      <c r="I208" s="1793"/>
    </row>
    <row r="209" spans="2:9" ht="27" customHeight="1" x14ac:dyDescent="0.2">
      <c r="B209" s="27"/>
      <c r="C209" s="27"/>
      <c r="D209" s="27"/>
      <c r="E209" s="27"/>
      <c r="F209" s="27"/>
      <c r="G209" s="27"/>
      <c r="H209" s="1792" t="s">
        <v>918</v>
      </c>
      <c r="I209" s="1793"/>
    </row>
    <row r="210" spans="2:9" ht="42" customHeight="1" x14ac:dyDescent="0.2">
      <c r="B210" s="27"/>
      <c r="C210" s="27"/>
      <c r="D210" s="27"/>
      <c r="E210" s="27"/>
      <c r="F210" s="27"/>
      <c r="G210" s="27"/>
      <c r="H210" s="1792" t="s">
        <v>1705</v>
      </c>
      <c r="I210" s="1793"/>
    </row>
    <row r="211" spans="2:9" ht="27" customHeight="1" x14ac:dyDescent="0.2">
      <c r="B211" s="27"/>
      <c r="C211" s="27"/>
      <c r="D211" s="27"/>
      <c r="E211" s="27"/>
      <c r="F211" s="27"/>
      <c r="G211" s="27"/>
      <c r="H211" s="1792" t="s">
        <v>795</v>
      </c>
      <c r="I211" s="1793"/>
    </row>
    <row r="212" spans="2:9" ht="42" customHeight="1" x14ac:dyDescent="0.2">
      <c r="B212" s="27"/>
      <c r="C212" s="27"/>
      <c r="D212" s="27"/>
      <c r="E212" s="27"/>
      <c r="F212" s="27"/>
      <c r="G212" s="27"/>
      <c r="H212" s="1792" t="s">
        <v>919</v>
      </c>
      <c r="I212" s="1793"/>
    </row>
    <row r="213" spans="2:9" ht="27" customHeight="1" x14ac:dyDescent="0.2">
      <c r="B213" s="27"/>
      <c r="C213" s="27"/>
      <c r="D213" s="27"/>
      <c r="E213" s="27"/>
      <c r="F213" s="27"/>
      <c r="G213" s="27"/>
      <c r="H213" s="1796" t="s">
        <v>1768</v>
      </c>
      <c r="I213" s="1797"/>
    </row>
    <row r="214" spans="2:9" ht="27" customHeight="1" x14ac:dyDescent="0.2">
      <c r="B214" s="27"/>
      <c r="C214" s="27"/>
      <c r="D214" s="27"/>
      <c r="E214" s="27"/>
      <c r="F214" s="27"/>
      <c r="G214" s="27"/>
      <c r="H214" s="1792" t="s">
        <v>920</v>
      </c>
      <c r="I214" s="1793"/>
    </row>
    <row r="215" spans="2:9" ht="27" customHeight="1" x14ac:dyDescent="0.2">
      <c r="B215" s="27"/>
      <c r="C215" s="27"/>
      <c r="D215" s="27"/>
      <c r="E215" s="27"/>
      <c r="F215" s="27"/>
      <c r="G215" s="27"/>
      <c r="H215" s="1796" t="s">
        <v>1769</v>
      </c>
      <c r="I215" s="1797"/>
    </row>
    <row r="216" spans="2:9" ht="42" customHeight="1" x14ac:dyDescent="0.2">
      <c r="B216" s="27"/>
      <c r="C216" s="27"/>
      <c r="D216" s="27"/>
      <c r="E216" s="27"/>
      <c r="F216" s="27"/>
      <c r="G216" s="27"/>
      <c r="H216" s="1796" t="s">
        <v>1384</v>
      </c>
      <c r="I216" s="1797"/>
    </row>
    <row r="217" spans="2:9" ht="42" customHeight="1" x14ac:dyDescent="0.2">
      <c r="B217" s="27"/>
      <c r="C217" s="27"/>
      <c r="D217" s="27"/>
      <c r="E217" s="27"/>
      <c r="F217" s="27"/>
      <c r="G217" s="27"/>
      <c r="H217" s="1796" t="s">
        <v>1801</v>
      </c>
      <c r="I217" s="1797"/>
    </row>
    <row r="218" spans="2:9" ht="27" customHeight="1" x14ac:dyDescent="0.2">
      <c r="B218" s="27"/>
      <c r="C218" s="27"/>
      <c r="D218" s="27"/>
      <c r="E218" s="27"/>
      <c r="F218" s="27"/>
      <c r="G218" s="27"/>
      <c r="H218" s="1796" t="s">
        <v>1770</v>
      </c>
      <c r="I218" s="1797"/>
    </row>
    <row r="219" spans="2:9" ht="42" customHeight="1" x14ac:dyDescent="0.2">
      <c r="B219" s="27"/>
      <c r="C219" s="27"/>
      <c r="D219" s="27"/>
      <c r="E219" s="27"/>
      <c r="F219" s="27"/>
      <c r="G219" s="27"/>
      <c r="H219" s="1792" t="s">
        <v>921</v>
      </c>
      <c r="I219" s="1793"/>
    </row>
    <row r="220" spans="2:9" ht="27" customHeight="1" x14ac:dyDescent="0.2">
      <c r="B220" s="27"/>
      <c r="C220" s="27"/>
      <c r="D220" s="27"/>
      <c r="E220" s="27"/>
      <c r="F220" s="27"/>
      <c r="G220" s="27"/>
      <c r="H220" s="1792" t="s">
        <v>922</v>
      </c>
      <c r="I220" s="1793"/>
    </row>
    <row r="221" spans="2:9" ht="42" customHeight="1" x14ac:dyDescent="0.2">
      <c r="B221" s="27"/>
      <c r="C221" s="27"/>
      <c r="D221" s="27"/>
      <c r="E221" s="27"/>
      <c r="F221" s="27"/>
      <c r="G221" s="27"/>
      <c r="H221" s="1796" t="s">
        <v>1511</v>
      </c>
      <c r="I221" s="1797"/>
    </row>
    <row r="222" spans="2:9" ht="27" customHeight="1" x14ac:dyDescent="0.2">
      <c r="B222" s="27"/>
      <c r="C222" s="27"/>
      <c r="D222" s="27"/>
      <c r="E222" s="27"/>
      <c r="F222" s="27"/>
      <c r="G222" s="27"/>
      <c r="H222" s="1796" t="s">
        <v>1743</v>
      </c>
      <c r="I222" s="1797"/>
    </row>
    <row r="223" spans="2:9" ht="27" customHeight="1" x14ac:dyDescent="0.2">
      <c r="B223" s="27"/>
      <c r="C223" s="27"/>
      <c r="D223" s="27"/>
      <c r="E223" s="27"/>
      <c r="F223" s="27"/>
      <c r="G223" s="27"/>
      <c r="H223" s="1796" t="s">
        <v>1781</v>
      </c>
      <c r="I223" s="1797"/>
    </row>
    <row r="224" spans="2:9" ht="42" customHeight="1" x14ac:dyDescent="0.2">
      <c r="B224" s="27"/>
      <c r="C224" s="27"/>
      <c r="D224" s="27"/>
      <c r="E224" s="27"/>
      <c r="F224" s="27"/>
      <c r="G224" s="27"/>
      <c r="H224" s="1792" t="s">
        <v>923</v>
      </c>
      <c r="I224" s="1793"/>
    </row>
    <row r="225" spans="2:9" ht="27" customHeight="1" x14ac:dyDescent="0.2">
      <c r="B225" s="27"/>
      <c r="C225" s="27"/>
      <c r="D225" s="27"/>
      <c r="E225" s="27"/>
      <c r="F225" s="27"/>
      <c r="G225" s="27"/>
      <c r="H225" s="1796" t="s">
        <v>1385</v>
      </c>
      <c r="I225" s="1797"/>
    </row>
    <row r="226" spans="2:9" ht="42" customHeight="1" x14ac:dyDescent="0.2">
      <c r="B226" s="27"/>
      <c r="C226" s="27"/>
      <c r="D226" s="27"/>
      <c r="E226" s="27"/>
      <c r="F226" s="27"/>
      <c r="G226" s="27"/>
      <c r="H226" s="1796" t="s">
        <v>1786</v>
      </c>
      <c r="I226" s="1797"/>
    </row>
    <row r="227" spans="2:9" ht="27" customHeight="1" x14ac:dyDescent="0.2">
      <c r="B227" s="27"/>
      <c r="C227" s="27"/>
      <c r="D227" s="27"/>
      <c r="E227" s="27"/>
      <c r="F227" s="27"/>
      <c r="G227" s="27"/>
      <c r="H227" s="1796" t="s">
        <v>1788</v>
      </c>
      <c r="I227" s="1797"/>
    </row>
    <row r="228" spans="2:9" ht="42" customHeight="1" x14ac:dyDescent="0.2">
      <c r="B228" s="27"/>
      <c r="C228" s="27"/>
      <c r="D228" s="27"/>
      <c r="E228" s="27"/>
      <c r="F228" s="27"/>
      <c r="G228" s="27"/>
      <c r="H228" s="1792" t="s">
        <v>924</v>
      </c>
      <c r="I228" s="1793"/>
    </row>
    <row r="229" spans="2:9" ht="27" customHeight="1" x14ac:dyDescent="0.2">
      <c r="B229" s="27"/>
      <c r="C229" s="27"/>
      <c r="D229" s="27"/>
      <c r="E229" s="27"/>
      <c r="F229" s="27"/>
      <c r="G229" s="27"/>
      <c r="H229" s="1796" t="s">
        <v>1398</v>
      </c>
      <c r="I229" s="1797"/>
    </row>
    <row r="230" spans="2:9" ht="27" customHeight="1" x14ac:dyDescent="0.2">
      <c r="B230" s="27"/>
      <c r="C230" s="27"/>
      <c r="D230" s="27"/>
      <c r="E230" s="27"/>
      <c r="F230" s="27"/>
      <c r="G230" s="27"/>
      <c r="H230" s="1796" t="s">
        <v>1399</v>
      </c>
      <c r="I230" s="1797"/>
    </row>
    <row r="231" spans="2:9" ht="27" customHeight="1" x14ac:dyDescent="0.2">
      <c r="B231" s="27"/>
      <c r="C231" s="27"/>
      <c r="D231" s="27"/>
      <c r="E231" s="27"/>
      <c r="F231" s="27"/>
      <c r="G231" s="27"/>
      <c r="H231" s="1796" t="s">
        <v>1400</v>
      </c>
      <c r="I231" s="1797"/>
    </row>
    <row r="232" spans="2:9" ht="27" customHeight="1" x14ac:dyDescent="0.2">
      <c r="B232" s="27"/>
      <c r="C232" s="27"/>
      <c r="D232" s="27"/>
      <c r="E232" s="27"/>
      <c r="F232" s="27"/>
      <c r="G232" s="27"/>
      <c r="H232" s="1792" t="s">
        <v>1033</v>
      </c>
      <c r="I232" s="1793"/>
    </row>
    <row r="233" spans="2:9" ht="27" customHeight="1" x14ac:dyDescent="0.2">
      <c r="B233" s="27"/>
      <c r="C233" s="27"/>
      <c r="D233" s="27"/>
      <c r="E233" s="27"/>
      <c r="F233" s="27"/>
      <c r="G233" s="27"/>
      <c r="H233" s="1796" t="s">
        <v>1771</v>
      </c>
      <c r="I233" s="1797"/>
    </row>
    <row r="234" spans="2:9" ht="27" customHeight="1" x14ac:dyDescent="0.2">
      <c r="B234" s="27"/>
      <c r="C234" s="27"/>
      <c r="D234" s="27"/>
      <c r="E234" s="27"/>
      <c r="F234" s="27"/>
      <c r="G234" s="27"/>
      <c r="H234" s="1792" t="s">
        <v>925</v>
      </c>
      <c r="I234" s="1793"/>
    </row>
    <row r="235" spans="2:9" ht="27" customHeight="1" x14ac:dyDescent="0.2">
      <c r="B235" s="27"/>
      <c r="C235" s="27"/>
      <c r="D235" s="27"/>
      <c r="E235" s="27"/>
      <c r="F235" s="27"/>
      <c r="G235" s="27"/>
      <c r="H235" s="1792" t="s">
        <v>926</v>
      </c>
      <c r="I235" s="1793"/>
    </row>
    <row r="236" spans="2:9" ht="42" customHeight="1" x14ac:dyDescent="0.2">
      <c r="B236" s="27"/>
      <c r="C236" s="27"/>
      <c r="D236" s="27"/>
      <c r="E236" s="27"/>
      <c r="F236" s="27"/>
      <c r="G236" s="27"/>
      <c r="H236" s="1796" t="s">
        <v>1772</v>
      </c>
      <c r="I236" s="1797"/>
    </row>
    <row r="237" spans="2:9" ht="27" customHeight="1" x14ac:dyDescent="0.2">
      <c r="B237" s="27"/>
      <c r="C237" s="27"/>
      <c r="D237" s="27"/>
      <c r="E237" s="27"/>
      <c r="F237" s="27"/>
      <c r="G237" s="27"/>
      <c r="H237" s="1796" t="s">
        <v>1397</v>
      </c>
      <c r="I237" s="1797"/>
    </row>
    <row r="238" spans="2:9" ht="27" customHeight="1" x14ac:dyDescent="0.2">
      <c r="B238" s="27"/>
      <c r="C238" s="27"/>
      <c r="D238" s="27"/>
      <c r="E238" s="27"/>
      <c r="F238" s="27"/>
      <c r="G238" s="27"/>
      <c r="H238" s="1796" t="s">
        <v>1417</v>
      </c>
      <c r="I238" s="1797"/>
    </row>
    <row r="239" spans="2:9" ht="27" customHeight="1" x14ac:dyDescent="0.2">
      <c r="B239" s="27"/>
      <c r="C239" s="27"/>
      <c r="D239" s="27"/>
      <c r="E239" s="27"/>
      <c r="F239" s="27"/>
      <c r="G239" s="27"/>
      <c r="H239" s="1796" t="s">
        <v>1386</v>
      </c>
      <c r="I239" s="1797"/>
    </row>
    <row r="240" spans="2:9" ht="27" customHeight="1" x14ac:dyDescent="0.2">
      <c r="B240" s="27"/>
      <c r="C240" s="27"/>
      <c r="D240" s="27"/>
      <c r="E240" s="27"/>
      <c r="F240" s="27"/>
      <c r="G240" s="27"/>
      <c r="H240" s="1796" t="s">
        <v>1387</v>
      </c>
      <c r="I240" s="1797"/>
    </row>
    <row r="241" spans="2:9" ht="27" customHeight="1" x14ac:dyDescent="0.2">
      <c r="B241" s="27"/>
      <c r="C241" s="27"/>
      <c r="D241" s="27"/>
      <c r="E241" s="27"/>
      <c r="F241" s="27"/>
      <c r="G241" s="27"/>
      <c r="H241" s="1792" t="s">
        <v>927</v>
      </c>
      <c r="I241" s="1793"/>
    </row>
    <row r="242" spans="2:9" ht="27" customHeight="1" x14ac:dyDescent="0.2">
      <c r="B242" s="27"/>
      <c r="C242" s="27"/>
      <c r="D242" s="27"/>
      <c r="E242" s="27"/>
      <c r="F242" s="27"/>
      <c r="G242" s="27"/>
      <c r="H242" s="1792" t="s">
        <v>1218</v>
      </c>
      <c r="I242" s="1793"/>
    </row>
    <row r="243" spans="2:9" ht="27" customHeight="1" x14ac:dyDescent="0.2">
      <c r="B243" s="27"/>
      <c r="C243" s="27"/>
      <c r="D243" s="27"/>
      <c r="E243" s="27"/>
      <c r="F243" s="27"/>
      <c r="G243" s="27"/>
      <c r="H243" s="1792" t="s">
        <v>928</v>
      </c>
      <c r="I243" s="1793"/>
    </row>
    <row r="244" spans="2:9" ht="42" customHeight="1" x14ac:dyDescent="0.2">
      <c r="B244" s="27"/>
      <c r="C244" s="27"/>
      <c r="D244" s="27"/>
      <c r="E244" s="27"/>
      <c r="F244" s="27"/>
      <c r="G244" s="27"/>
      <c r="H244" s="1792" t="s">
        <v>884</v>
      </c>
      <c r="I244" s="1793"/>
    </row>
    <row r="245" spans="2:9" ht="27" customHeight="1" x14ac:dyDescent="0.2">
      <c r="B245" s="27"/>
      <c r="C245" s="27"/>
      <c r="D245" s="27"/>
      <c r="E245" s="27"/>
      <c r="F245" s="27"/>
      <c r="G245" s="27"/>
      <c r="H245" s="1792" t="s">
        <v>1773</v>
      </c>
      <c r="I245" s="1793"/>
    </row>
    <row r="246" spans="2:9" ht="27" customHeight="1" x14ac:dyDescent="0.2">
      <c r="B246" s="27"/>
      <c r="C246" s="27"/>
      <c r="D246" s="27"/>
      <c r="E246" s="27"/>
      <c r="F246" s="27"/>
      <c r="G246" s="27"/>
      <c r="H246" s="1792" t="s">
        <v>929</v>
      </c>
      <c r="I246" s="1793"/>
    </row>
    <row r="247" spans="2:9" ht="27" customHeight="1" x14ac:dyDescent="0.2">
      <c r="B247" s="27"/>
      <c r="C247" s="27"/>
      <c r="D247" s="27"/>
      <c r="E247" s="27"/>
      <c r="F247" s="27"/>
      <c r="G247" s="27"/>
      <c r="H247" s="1796" t="s">
        <v>1401</v>
      </c>
      <c r="I247" s="1797"/>
    </row>
    <row r="248" spans="2:9" ht="42" customHeight="1" x14ac:dyDescent="0.2">
      <c r="B248" s="27"/>
      <c r="C248" s="27"/>
      <c r="D248" s="27"/>
      <c r="E248" s="27"/>
      <c r="F248" s="27"/>
      <c r="G248" s="27"/>
      <c r="H248" s="1796" t="s">
        <v>1392</v>
      </c>
      <c r="I248" s="1797"/>
    </row>
    <row r="249" spans="2:9" ht="27" customHeight="1" x14ac:dyDescent="0.2">
      <c r="B249" s="27"/>
      <c r="C249" s="27"/>
      <c r="D249" s="27"/>
      <c r="E249" s="27"/>
      <c r="F249" s="27"/>
      <c r="G249" s="27"/>
      <c r="H249" s="1792" t="s">
        <v>931</v>
      </c>
      <c r="I249" s="1793"/>
    </row>
    <row r="250" spans="2:9" ht="27" customHeight="1" x14ac:dyDescent="0.2">
      <c r="B250" s="27"/>
      <c r="C250" s="27"/>
      <c r="D250" s="27"/>
      <c r="E250" s="27"/>
      <c r="F250" s="27"/>
      <c r="G250" s="27"/>
      <c r="H250" s="1796" t="s">
        <v>1774</v>
      </c>
      <c r="I250" s="1797"/>
    </row>
    <row r="251" spans="2:9" ht="27" customHeight="1" x14ac:dyDescent="0.2">
      <c r="B251" s="27"/>
      <c r="C251" s="27"/>
      <c r="D251" s="27"/>
      <c r="E251" s="27"/>
      <c r="F251" s="27"/>
      <c r="G251" s="27"/>
      <c r="H251" s="1792" t="s">
        <v>932</v>
      </c>
      <c r="I251" s="1793"/>
    </row>
    <row r="252" spans="2:9" ht="27" customHeight="1" x14ac:dyDescent="0.2">
      <c r="B252" s="27"/>
      <c r="C252" s="27"/>
      <c r="D252" s="27"/>
      <c r="E252" s="27"/>
      <c r="F252" s="27"/>
      <c r="G252" s="27"/>
      <c r="H252" s="1792" t="s">
        <v>933</v>
      </c>
      <c r="I252" s="1793"/>
    </row>
    <row r="253" spans="2:9" ht="27" customHeight="1" x14ac:dyDescent="0.2">
      <c r="B253" s="27"/>
      <c r="C253" s="27"/>
      <c r="D253" s="27"/>
      <c r="E253" s="27"/>
      <c r="F253" s="27"/>
      <c r="G253" s="27"/>
      <c r="H253" s="1792" t="s">
        <v>934</v>
      </c>
      <c r="I253" s="1793"/>
    </row>
    <row r="254" spans="2:9" ht="42" customHeight="1" x14ac:dyDescent="0.2">
      <c r="B254" s="27"/>
      <c r="C254" s="27"/>
      <c r="D254" s="27"/>
      <c r="E254" s="27"/>
      <c r="F254" s="27"/>
      <c r="G254" s="27"/>
      <c r="H254" s="1792" t="s">
        <v>935</v>
      </c>
      <c r="I254" s="1793"/>
    </row>
    <row r="255" spans="2:9" ht="27" customHeight="1" x14ac:dyDescent="0.2">
      <c r="B255" s="27"/>
      <c r="C255" s="27"/>
      <c r="D255" s="27"/>
      <c r="E255" s="27"/>
      <c r="F255" s="27"/>
      <c r="G255" s="27"/>
      <c r="H255" s="1792" t="s">
        <v>936</v>
      </c>
      <c r="I255" s="1793"/>
    </row>
    <row r="256" spans="2:9" ht="27" customHeight="1" x14ac:dyDescent="0.2">
      <c r="B256" s="27"/>
      <c r="C256" s="27"/>
      <c r="D256" s="27"/>
      <c r="E256" s="27"/>
      <c r="F256" s="27"/>
      <c r="G256" s="27"/>
      <c r="H256" s="1796" t="s">
        <v>1775</v>
      </c>
      <c r="I256" s="1797"/>
    </row>
    <row r="257" spans="8:9" ht="27" customHeight="1" x14ac:dyDescent="0.2">
      <c r="H257" s="1796" t="s">
        <v>1413</v>
      </c>
      <c r="I257" s="1797"/>
    </row>
    <row r="258" spans="8:9" ht="42" customHeight="1" x14ac:dyDescent="0.2">
      <c r="H258" s="1792" t="s">
        <v>901</v>
      </c>
      <c r="I258" s="1793"/>
    </row>
    <row r="259" spans="8:9" ht="27" customHeight="1" x14ac:dyDescent="0.2">
      <c r="H259" s="1792" t="s">
        <v>864</v>
      </c>
      <c r="I259" s="1793"/>
    </row>
    <row r="260" spans="8:9" ht="27" customHeight="1" x14ac:dyDescent="0.2">
      <c r="H260" s="1792" t="s">
        <v>787</v>
      </c>
      <c r="I260" s="1793"/>
    </row>
    <row r="261" spans="8:9" ht="27" customHeight="1" x14ac:dyDescent="0.2">
      <c r="H261" s="1792" t="s">
        <v>1776</v>
      </c>
      <c r="I261" s="1793"/>
    </row>
    <row r="262" spans="8:9" ht="42" customHeight="1" x14ac:dyDescent="0.2">
      <c r="H262" s="1796" t="s">
        <v>1777</v>
      </c>
      <c r="I262" s="1797"/>
    </row>
    <row r="263" spans="8:9" ht="27" customHeight="1" x14ac:dyDescent="0.2">
      <c r="H263" s="1792" t="s">
        <v>1130</v>
      </c>
      <c r="I263" s="1793"/>
    </row>
    <row r="264" spans="8:9" ht="27" customHeight="1" x14ac:dyDescent="0.2">
      <c r="H264" s="1792" t="s">
        <v>937</v>
      </c>
      <c r="I264" s="1793"/>
    </row>
    <row r="265" spans="8:9" ht="27" customHeight="1" thickBot="1" x14ac:dyDescent="0.25">
      <c r="H265" s="2013" t="s">
        <v>1778</v>
      </c>
      <c r="I265" s="2014"/>
    </row>
    <row r="266" spans="8:9" x14ac:dyDescent="0.2">
      <c r="H266" s="768"/>
    </row>
    <row r="270" spans="8:9" x14ac:dyDescent="0.2">
      <c r="H270" s="768"/>
    </row>
  </sheetData>
  <sheetProtection algorithmName="SHA-512" hashValue="hBrpIHIEzh7BOxH9qJC6BstxqaLN7mu00ElwGjxcBdzig1ZAT3jxMsRBYxH+6DqxGpbVEr2AweSFQdX7BQ6qRQ==" saltValue="/dk/4h2b0SqvO1Q7AXW6qw==" spinCount="100000" sheet="1" formatCells="0" formatColumns="0" formatRows="0"/>
  <sortState xmlns:xlrd2="http://schemas.microsoft.com/office/spreadsheetml/2017/richdata2" ref="H216:H270">
    <sortCondition ref="H216:H270"/>
  </sortState>
  <customSheetViews>
    <customSheetView guid="{B8E02330-2419-4DE6-AD01-7ACC7A5D18DD}" scale="73">
      <pageMargins left="0.75" right="0.75" top="1" bottom="1" header="0.5" footer="0.5"/>
      <pageSetup orientation="portrait" r:id="rId1"/>
      <headerFooter alignWithMargins="0"/>
    </customSheetView>
  </customSheetViews>
  <mergeCells count="201">
    <mergeCell ref="B172:B176"/>
    <mergeCell ref="B147:B150"/>
    <mergeCell ref="B160:B164"/>
    <mergeCell ref="A160:A164"/>
    <mergeCell ref="H134:H137"/>
    <mergeCell ref="H138:H142"/>
    <mergeCell ref="H151:H156"/>
    <mergeCell ref="H157:H159"/>
    <mergeCell ref="B151:B156"/>
    <mergeCell ref="B134:B137"/>
    <mergeCell ref="B138:B142"/>
    <mergeCell ref="A138:A142"/>
    <mergeCell ref="A134:A137"/>
    <mergeCell ref="B143:B146"/>
    <mergeCell ref="H143:H146"/>
    <mergeCell ref="B157:B159"/>
    <mergeCell ref="A165:A171"/>
    <mergeCell ref="A172:A176"/>
    <mergeCell ref="H97:H103"/>
    <mergeCell ref="B122:B128"/>
    <mergeCell ref="H116:H121"/>
    <mergeCell ref="H122:H128"/>
    <mergeCell ref="H92:H96"/>
    <mergeCell ref="H77:H82"/>
    <mergeCell ref="A129:A132"/>
    <mergeCell ref="A26:A31"/>
    <mergeCell ref="B165:B171"/>
    <mergeCell ref="B32:B37"/>
    <mergeCell ref="A151:A156"/>
    <mergeCell ref="A143:A146"/>
    <mergeCell ref="A157:A159"/>
    <mergeCell ref="A147:A150"/>
    <mergeCell ref="B110:B115"/>
    <mergeCell ref="A110:A115"/>
    <mergeCell ref="A116:A121"/>
    <mergeCell ref="B129:B132"/>
    <mergeCell ref="A86:A91"/>
    <mergeCell ref="A1:B1"/>
    <mergeCell ref="B104:B109"/>
    <mergeCell ref="B97:B103"/>
    <mergeCell ref="A97:A103"/>
    <mergeCell ref="A104:A109"/>
    <mergeCell ref="A32:A37"/>
    <mergeCell ref="A38:A44"/>
    <mergeCell ref="A10:A17"/>
    <mergeCell ref="A18:A25"/>
    <mergeCell ref="A3:A9"/>
    <mergeCell ref="B60:B66"/>
    <mergeCell ref="B86:B91"/>
    <mergeCell ref="A45:A52"/>
    <mergeCell ref="B10:B17"/>
    <mergeCell ref="B83:B85"/>
    <mergeCell ref="B38:B44"/>
    <mergeCell ref="B18:B25"/>
    <mergeCell ref="B92:B96"/>
    <mergeCell ref="B67:B72"/>
    <mergeCell ref="A77:A82"/>
    <mergeCell ref="A57:A59"/>
    <mergeCell ref="B77:B82"/>
    <mergeCell ref="B26:B31"/>
    <mergeCell ref="B45:B52"/>
    <mergeCell ref="A197:B198"/>
    <mergeCell ref="D196:H196"/>
    <mergeCell ref="H197:I197"/>
    <mergeCell ref="H198:I198"/>
    <mergeCell ref="H3:H9"/>
    <mergeCell ref="H147:H150"/>
    <mergeCell ref="H110:H115"/>
    <mergeCell ref="H129:H132"/>
    <mergeCell ref="B116:B121"/>
    <mergeCell ref="A122:A128"/>
    <mergeCell ref="A60:A66"/>
    <mergeCell ref="H104:H109"/>
    <mergeCell ref="H38:H44"/>
    <mergeCell ref="H86:H91"/>
    <mergeCell ref="H60:H66"/>
    <mergeCell ref="H67:H72"/>
    <mergeCell ref="A92:A96"/>
    <mergeCell ref="A83:A85"/>
    <mergeCell ref="B73:B76"/>
    <mergeCell ref="A67:A72"/>
    <mergeCell ref="A73:A76"/>
    <mergeCell ref="B3:B9"/>
    <mergeCell ref="H26:H31"/>
    <mergeCell ref="B57:B59"/>
    <mergeCell ref="I60:I66"/>
    <mergeCell ref="I57:I59"/>
    <mergeCell ref="I67:I72"/>
    <mergeCell ref="I73:I76"/>
    <mergeCell ref="I77:I82"/>
    <mergeCell ref="I83:I85"/>
    <mergeCell ref="E1:I1"/>
    <mergeCell ref="I3:I9"/>
    <mergeCell ref="I10:I17"/>
    <mergeCell ref="I18:I25"/>
    <mergeCell ref="I26:I31"/>
    <mergeCell ref="I32:I37"/>
    <mergeCell ref="I38:I44"/>
    <mergeCell ref="I45:I52"/>
    <mergeCell ref="H18:H25"/>
    <mergeCell ref="H83:H85"/>
    <mergeCell ref="H73:H76"/>
    <mergeCell ref="H57:H59"/>
    <mergeCell ref="H10:H17"/>
    <mergeCell ref="H32:H37"/>
    <mergeCell ref="H45:H52"/>
    <mergeCell ref="I92:I96"/>
    <mergeCell ref="I97:I103"/>
    <mergeCell ref="I104:I109"/>
    <mergeCell ref="I110:I115"/>
    <mergeCell ref="I116:I121"/>
    <mergeCell ref="I122:I128"/>
    <mergeCell ref="I129:I132"/>
    <mergeCell ref="I134:I137"/>
    <mergeCell ref="I138:I142"/>
    <mergeCell ref="H200:I200"/>
    <mergeCell ref="H202:I202"/>
    <mergeCell ref="I143:I146"/>
    <mergeCell ref="I147:I150"/>
    <mergeCell ref="I151:I156"/>
    <mergeCell ref="I157:I159"/>
    <mergeCell ref="I160:I164"/>
    <mergeCell ref="I165:I171"/>
    <mergeCell ref="I172:I176"/>
    <mergeCell ref="H160:H164"/>
    <mergeCell ref="D189:H189"/>
    <mergeCell ref="H165:H171"/>
    <mergeCell ref="H172:H176"/>
    <mergeCell ref="C198:E198"/>
    <mergeCell ref="D192:F192"/>
    <mergeCell ref="D193:F193"/>
    <mergeCell ref="D194:F194"/>
    <mergeCell ref="D195:F195"/>
    <mergeCell ref="C197:E197"/>
    <mergeCell ref="D190:F190"/>
    <mergeCell ref="D191:F191"/>
    <mergeCell ref="H203:I203"/>
    <mergeCell ref="H204:I204"/>
    <mergeCell ref="H205:I205"/>
    <mergeCell ref="H206:I206"/>
    <mergeCell ref="H207:I207"/>
    <mergeCell ref="H208:I208"/>
    <mergeCell ref="H209:I209"/>
    <mergeCell ref="H210:I210"/>
    <mergeCell ref="H211:I211"/>
    <mergeCell ref="H212:I212"/>
    <mergeCell ref="H213:I213"/>
    <mergeCell ref="H214:I214"/>
    <mergeCell ref="H215:I215"/>
    <mergeCell ref="H216:I216"/>
    <mergeCell ref="H218:I218"/>
    <mergeCell ref="H217:I217"/>
    <mergeCell ref="H219:I219"/>
    <mergeCell ref="H220:I220"/>
    <mergeCell ref="H221:I221"/>
    <mergeCell ref="H222:I222"/>
    <mergeCell ref="H223:I223"/>
    <mergeCell ref="H224:I224"/>
    <mergeCell ref="H225:I225"/>
    <mergeCell ref="H226:I226"/>
    <mergeCell ref="H227:I227"/>
    <mergeCell ref="H228:I228"/>
    <mergeCell ref="H229:I229"/>
    <mergeCell ref="H243:I243"/>
    <mergeCell ref="H244:I244"/>
    <mergeCell ref="H245:I245"/>
    <mergeCell ref="H246:I246"/>
    <mergeCell ref="H247:I247"/>
    <mergeCell ref="H230:I230"/>
    <mergeCell ref="H232:I232"/>
    <mergeCell ref="H231:I231"/>
    <mergeCell ref="H233:I233"/>
    <mergeCell ref="H234:I234"/>
    <mergeCell ref="H235:I235"/>
    <mergeCell ref="H236:I236"/>
    <mergeCell ref="H237:I237"/>
    <mergeCell ref="H238:I238"/>
    <mergeCell ref="I86:I90"/>
    <mergeCell ref="H258:I258"/>
    <mergeCell ref="H259:I259"/>
    <mergeCell ref="H260:I260"/>
    <mergeCell ref="H261:I261"/>
    <mergeCell ref="H262:I262"/>
    <mergeCell ref="H263:I263"/>
    <mergeCell ref="H264:I264"/>
    <mergeCell ref="H265:I265"/>
    <mergeCell ref="H201:I201"/>
    <mergeCell ref="H248:I248"/>
    <mergeCell ref="H249:I249"/>
    <mergeCell ref="H250:I250"/>
    <mergeCell ref="H251:I251"/>
    <mergeCell ref="H252:I252"/>
    <mergeCell ref="H253:I253"/>
    <mergeCell ref="H254:I254"/>
    <mergeCell ref="H255:I255"/>
    <mergeCell ref="H257:I257"/>
    <mergeCell ref="H256:I256"/>
    <mergeCell ref="H239:I239"/>
    <mergeCell ref="H240:I240"/>
    <mergeCell ref="H241:I241"/>
    <mergeCell ref="H242:I242"/>
  </mergeCells>
  <phoneticPr fontId="3" type="noConversion"/>
  <pageMargins left="0.75" right="0.75" top="1" bottom="1" header="0.5" footer="0.5"/>
  <pageSetup orientation="portrait" r:id="rId2"/>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6"/>
  <dimension ref="A1:I60"/>
  <sheetViews>
    <sheetView topLeftCell="A33" zoomScaleNormal="100" workbookViewId="0">
      <selection activeCell="J54" sqref="J54"/>
    </sheetView>
  </sheetViews>
  <sheetFormatPr defaultColWidth="9.33203125" defaultRowHeight="12.75" x14ac:dyDescent="0.2"/>
  <cols>
    <col min="1" max="1" width="5.83203125" style="39" customWidth="1"/>
    <col min="2" max="2" width="18.83203125" style="1" customWidth="1"/>
    <col min="3" max="3" width="75.83203125" style="1" customWidth="1"/>
    <col min="4" max="6" width="7.83203125" style="13" customWidth="1"/>
    <col min="7" max="7" width="9.33203125" style="396" customWidth="1"/>
    <col min="8" max="8" width="64.83203125" style="1" customWidth="1"/>
    <col min="9" max="9" width="9.83203125" style="2" customWidth="1"/>
    <col min="10" max="10" width="10.33203125" style="1" bestFit="1" customWidth="1"/>
    <col min="11" max="16384" width="9.33203125" style="1"/>
  </cols>
  <sheetData>
    <row r="1" spans="1:9" s="1412" customFormat="1" ht="108.75" customHeight="1" thickBot="1" x14ac:dyDescent="0.25">
      <c r="A1" s="2182" t="s">
        <v>2333</v>
      </c>
      <c r="B1" s="2183"/>
      <c r="C1" s="1452" t="s">
        <v>1480</v>
      </c>
      <c r="D1" s="1461" t="s">
        <v>1086</v>
      </c>
      <c r="E1" s="2180"/>
      <c r="F1" s="2181"/>
      <c r="G1" s="2181"/>
      <c r="H1" s="2181"/>
      <c r="I1" s="2181"/>
    </row>
    <row r="2" spans="1:9" s="1013" customFormat="1" ht="36" customHeight="1" thickBot="1" x14ac:dyDescent="0.35">
      <c r="A2" s="850" t="s">
        <v>88</v>
      </c>
      <c r="B2" s="850" t="s">
        <v>959</v>
      </c>
      <c r="C2" s="852" t="s">
        <v>1164</v>
      </c>
      <c r="D2" s="851" t="s">
        <v>45</v>
      </c>
      <c r="E2" s="944" t="s">
        <v>1188</v>
      </c>
      <c r="F2" s="928" t="s">
        <v>1189</v>
      </c>
      <c r="G2" s="945" t="s">
        <v>2558</v>
      </c>
      <c r="H2" s="850" t="s">
        <v>1117</v>
      </c>
      <c r="I2" s="850" t="s">
        <v>2427</v>
      </c>
    </row>
    <row r="3" spans="1:9" ht="21" customHeight="1" thickBot="1" x14ac:dyDescent="0.25">
      <c r="A3" s="1721" t="str">
        <f>OF!A50</f>
        <v>OF10</v>
      </c>
      <c r="B3" s="1669" t="str">
        <f>OF!B50</f>
        <v>Distance by Road to Nearest Population Center</v>
      </c>
      <c r="C3" s="240" t="str">
        <f>OF!C50</f>
        <v>Measured along the maintained road nearest the AA, the distance to the nearest population center is:</v>
      </c>
      <c r="D3" s="110"/>
      <c r="E3" s="110"/>
      <c r="F3" s="111"/>
      <c r="G3" s="318">
        <f>MAX(F4:F8)/MAX(E4:E8)</f>
        <v>0</v>
      </c>
      <c r="H3" s="1669" t="s">
        <v>1220</v>
      </c>
      <c r="I3" s="1669" t="s">
        <v>521</v>
      </c>
    </row>
    <row r="4" spans="1:9" ht="15" customHeight="1" x14ac:dyDescent="0.2">
      <c r="A4" s="1703"/>
      <c r="B4" s="1670"/>
      <c r="C4" s="14" t="str">
        <f>OF!C51</f>
        <v>&lt;100 m.</v>
      </c>
      <c r="D4" s="129">
        <f>OF!D51</f>
        <v>0</v>
      </c>
      <c r="E4" s="35">
        <v>5</v>
      </c>
      <c r="F4" s="35">
        <f t="shared" ref="F4:F22" si="0">D4*E4</f>
        <v>0</v>
      </c>
      <c r="G4" s="392"/>
      <c r="H4" s="1670"/>
      <c r="I4" s="1670"/>
    </row>
    <row r="5" spans="1:9" ht="15" customHeight="1" x14ac:dyDescent="0.2">
      <c r="A5" s="1703"/>
      <c r="B5" s="1670"/>
      <c r="C5" s="4" t="str">
        <f>OF!C52</f>
        <v>100 - 500 m.</v>
      </c>
      <c r="D5" s="33">
        <f>OF!D52</f>
        <v>0</v>
      </c>
      <c r="E5" s="35">
        <v>3</v>
      </c>
      <c r="F5" s="35">
        <f t="shared" si="0"/>
        <v>0</v>
      </c>
      <c r="G5" s="391"/>
      <c r="H5" s="1670"/>
      <c r="I5" s="1670"/>
    </row>
    <row r="6" spans="1:9" ht="15" customHeight="1" x14ac:dyDescent="0.2">
      <c r="A6" s="1703"/>
      <c r="B6" s="1670"/>
      <c r="C6" s="4" t="str">
        <f>OF!C53</f>
        <v>0.5- 1 km.</v>
      </c>
      <c r="D6" s="33">
        <f>OF!D53</f>
        <v>0</v>
      </c>
      <c r="E6" s="35">
        <v>2</v>
      </c>
      <c r="F6" s="35">
        <f t="shared" si="0"/>
        <v>0</v>
      </c>
      <c r="G6" s="391"/>
      <c r="H6" s="1670"/>
      <c r="I6" s="1670"/>
    </row>
    <row r="7" spans="1:9" ht="15" customHeight="1" x14ac:dyDescent="0.2">
      <c r="A7" s="1703"/>
      <c r="B7" s="1670"/>
      <c r="C7" s="4" t="str">
        <f>OF!C54</f>
        <v>1 - 5 km.</v>
      </c>
      <c r="D7" s="33">
        <f>OF!D54</f>
        <v>0</v>
      </c>
      <c r="E7" s="35">
        <v>1</v>
      </c>
      <c r="F7" s="35">
        <f t="shared" si="0"/>
        <v>0</v>
      </c>
      <c r="G7" s="391"/>
      <c r="H7" s="1670"/>
      <c r="I7" s="1670"/>
    </row>
    <row r="8" spans="1:9" ht="15" customHeight="1" thickBot="1" x14ac:dyDescent="0.25">
      <c r="A8" s="1722"/>
      <c r="B8" s="1671"/>
      <c r="C8" s="85" t="str">
        <f>OF!C55</f>
        <v>&gt;5 km.</v>
      </c>
      <c r="D8" s="84">
        <f>OF!D55</f>
        <v>0</v>
      </c>
      <c r="E8" s="112">
        <v>0</v>
      </c>
      <c r="F8" s="112">
        <f t="shared" si="0"/>
        <v>0</v>
      </c>
      <c r="G8" s="385"/>
      <c r="H8" s="1671"/>
      <c r="I8" s="1671"/>
    </row>
    <row r="9" spans="1:9" ht="21" customHeight="1" thickBot="1" x14ac:dyDescent="0.25">
      <c r="A9" s="1853" t="str">
        <f>OF!A56</f>
        <v>OF11</v>
      </c>
      <c r="B9" s="1670" t="str">
        <f>OF!B56</f>
        <v>Distance to Nearest Maintained Road</v>
      </c>
      <c r="C9" s="184" t="str">
        <f>OF!C56</f>
        <v>From the center of the AA, the distance to the nearest maintained public road (dirt or paved) is:</v>
      </c>
      <c r="D9" s="110"/>
      <c r="E9" s="38"/>
      <c r="F9" s="50"/>
      <c r="G9" s="332">
        <f>MAX(F10:F15)/MAX(E10:E15)</f>
        <v>0</v>
      </c>
      <c r="H9" s="1670" t="s">
        <v>985</v>
      </c>
      <c r="I9" s="1669" t="s">
        <v>986</v>
      </c>
    </row>
    <row r="10" spans="1:9" ht="15" customHeight="1" x14ac:dyDescent="0.2">
      <c r="A10" s="1853"/>
      <c r="B10" s="1670"/>
      <c r="C10" s="243" t="str">
        <f>OF!C57</f>
        <v>&lt;10 m.</v>
      </c>
      <c r="D10" s="129">
        <f>OF!D57</f>
        <v>0</v>
      </c>
      <c r="E10" s="35">
        <v>8</v>
      </c>
      <c r="F10" s="34">
        <f t="shared" si="0"/>
        <v>0</v>
      </c>
      <c r="G10" s="384"/>
      <c r="H10" s="1670"/>
      <c r="I10" s="1670"/>
    </row>
    <row r="11" spans="1:9" ht="15" customHeight="1" x14ac:dyDescent="0.2">
      <c r="A11" s="1853"/>
      <c r="B11" s="1670"/>
      <c r="C11" s="244" t="str">
        <f>OF!C58</f>
        <v>10 - 25 m.</v>
      </c>
      <c r="D11" s="33">
        <f>OF!D58</f>
        <v>0</v>
      </c>
      <c r="E11" s="35">
        <v>5</v>
      </c>
      <c r="F11" s="34">
        <f t="shared" si="0"/>
        <v>0</v>
      </c>
      <c r="G11" s="384"/>
      <c r="H11" s="1670"/>
      <c r="I11" s="1670"/>
    </row>
    <row r="12" spans="1:9" ht="15" customHeight="1" x14ac:dyDescent="0.2">
      <c r="A12" s="1853"/>
      <c r="B12" s="1670"/>
      <c r="C12" s="244" t="str">
        <f>OF!C59</f>
        <v>25 - 50 m.</v>
      </c>
      <c r="D12" s="33">
        <f>OF!D59</f>
        <v>0</v>
      </c>
      <c r="E12" s="35">
        <v>4</v>
      </c>
      <c r="F12" s="34">
        <f t="shared" si="0"/>
        <v>0</v>
      </c>
      <c r="G12" s="384"/>
      <c r="H12" s="1670"/>
      <c r="I12" s="1670"/>
    </row>
    <row r="13" spans="1:9" ht="15" customHeight="1" x14ac:dyDescent="0.2">
      <c r="A13" s="1853"/>
      <c r="B13" s="1670"/>
      <c r="C13" s="244" t="str">
        <f>OF!C60</f>
        <v>50 - 100 m.</v>
      </c>
      <c r="D13" s="33">
        <f>OF!D60</f>
        <v>0</v>
      </c>
      <c r="E13" s="35">
        <v>3</v>
      </c>
      <c r="F13" s="34">
        <f t="shared" si="0"/>
        <v>0</v>
      </c>
      <c r="G13" s="384"/>
      <c r="H13" s="1670"/>
      <c r="I13" s="1670"/>
    </row>
    <row r="14" spans="1:9" ht="15" customHeight="1" x14ac:dyDescent="0.2">
      <c r="A14" s="1853"/>
      <c r="B14" s="1670"/>
      <c r="C14" s="244" t="str">
        <f>OF!C61</f>
        <v>100 - 500 m.</v>
      </c>
      <c r="D14" s="33">
        <f>OF!D61</f>
        <v>0</v>
      </c>
      <c r="E14" s="35">
        <v>2</v>
      </c>
      <c r="F14" s="34">
        <f t="shared" si="0"/>
        <v>0</v>
      </c>
      <c r="G14" s="384"/>
      <c r="H14" s="1670"/>
      <c r="I14" s="1670"/>
    </row>
    <row r="15" spans="1:9" ht="15" customHeight="1" thickBot="1" x14ac:dyDescent="0.25">
      <c r="A15" s="1853"/>
      <c r="B15" s="1670"/>
      <c r="C15" s="335" t="str">
        <f>OF!C62</f>
        <v>&gt;500 m.</v>
      </c>
      <c r="D15" s="183">
        <f>OF!D62</f>
        <v>0</v>
      </c>
      <c r="E15" s="34">
        <v>1</v>
      </c>
      <c r="F15" s="34">
        <f t="shared" si="0"/>
        <v>0</v>
      </c>
      <c r="G15" s="391"/>
      <c r="H15" s="1670"/>
      <c r="I15" s="1671"/>
    </row>
    <row r="16" spans="1:9" ht="21" customHeight="1" thickBot="1" x14ac:dyDescent="0.25">
      <c r="A16" s="1862" t="str">
        <f>OF!A79</f>
        <v>OF15</v>
      </c>
      <c r="B16" s="1693" t="str">
        <f>OF!B79</f>
        <v>Tidal Proximity</v>
      </c>
      <c r="C16" s="240" t="str">
        <f>OF!C79</f>
        <v>The distance from the AA edge to the closest tidal water body (regardless of its salinity) is:</v>
      </c>
      <c r="D16" s="110"/>
      <c r="E16" s="110"/>
      <c r="F16" s="113"/>
      <c r="G16" s="318">
        <f>MAX(F17:F22)/MAX(E17:E22)</f>
        <v>0</v>
      </c>
      <c r="H16" s="1669" t="s">
        <v>1799</v>
      </c>
      <c r="I16" s="1669" t="s">
        <v>522</v>
      </c>
    </row>
    <row r="17" spans="1:9" ht="15" customHeight="1" x14ac:dyDescent="0.2">
      <c r="A17" s="1723"/>
      <c r="B17" s="1696"/>
      <c r="C17" s="14" t="str">
        <f>OF!C80</f>
        <v>&lt;100 m.</v>
      </c>
      <c r="D17" s="129">
        <f>OF!D80</f>
        <v>0</v>
      </c>
      <c r="E17" s="35">
        <v>7</v>
      </c>
      <c r="F17" s="35">
        <f t="shared" si="0"/>
        <v>0</v>
      </c>
      <c r="G17" s="383"/>
      <c r="H17" s="1670"/>
      <c r="I17" s="1670"/>
    </row>
    <row r="18" spans="1:9" ht="15" customHeight="1" x14ac:dyDescent="0.2">
      <c r="A18" s="1723"/>
      <c r="B18" s="1696"/>
      <c r="C18" s="4" t="str">
        <f>OF!C81</f>
        <v>100 m - 1 km.</v>
      </c>
      <c r="D18" s="33">
        <f>OF!D81</f>
        <v>0</v>
      </c>
      <c r="E18" s="35">
        <v>5</v>
      </c>
      <c r="F18" s="35">
        <f t="shared" si="0"/>
        <v>0</v>
      </c>
      <c r="G18" s="384"/>
      <c r="H18" s="1670"/>
      <c r="I18" s="1670"/>
    </row>
    <row r="19" spans="1:9" ht="15" customHeight="1" x14ac:dyDescent="0.2">
      <c r="A19" s="1723"/>
      <c r="B19" s="1696"/>
      <c r="C19" s="4" t="str">
        <f>OF!C82</f>
        <v>1 - 5 km.</v>
      </c>
      <c r="D19" s="33">
        <f>OF!D82</f>
        <v>0</v>
      </c>
      <c r="E19" s="35">
        <v>4</v>
      </c>
      <c r="F19" s="35">
        <f t="shared" si="0"/>
        <v>0</v>
      </c>
      <c r="G19" s="384"/>
      <c r="H19" s="1670"/>
      <c r="I19" s="1670"/>
    </row>
    <row r="20" spans="1:9" ht="15" customHeight="1" x14ac:dyDescent="0.2">
      <c r="A20" s="1723"/>
      <c r="B20" s="1696"/>
      <c r="C20" s="4" t="str">
        <f>OF!C83</f>
        <v>5-10 km.</v>
      </c>
      <c r="D20" s="33">
        <f>OF!D83</f>
        <v>0</v>
      </c>
      <c r="E20" s="35">
        <v>3</v>
      </c>
      <c r="F20" s="35">
        <f t="shared" si="0"/>
        <v>0</v>
      </c>
      <c r="G20" s="384"/>
      <c r="H20" s="1670"/>
      <c r="I20" s="1670"/>
    </row>
    <row r="21" spans="1:9" ht="15" customHeight="1" x14ac:dyDescent="0.2">
      <c r="A21" s="1723"/>
      <c r="B21" s="1696"/>
      <c r="C21" s="4" t="str">
        <f>OF!C84</f>
        <v>10-40 km.</v>
      </c>
      <c r="D21" s="33">
        <f>OF!D84</f>
        <v>0</v>
      </c>
      <c r="E21" s="35">
        <v>2</v>
      </c>
      <c r="F21" s="35">
        <f t="shared" si="0"/>
        <v>0</v>
      </c>
      <c r="G21" s="384"/>
      <c r="H21" s="1670"/>
      <c r="I21" s="1670"/>
    </row>
    <row r="22" spans="1:9" ht="15" customHeight="1" thickBot="1" x14ac:dyDescent="0.25">
      <c r="A22" s="1863"/>
      <c r="B22" s="1712"/>
      <c r="C22" s="4" t="str">
        <f>OF!C85</f>
        <v>&gt;40 km.</v>
      </c>
      <c r="D22" s="33">
        <f>OF!D85</f>
        <v>0</v>
      </c>
      <c r="E22" s="112">
        <v>0</v>
      </c>
      <c r="F22" s="112">
        <f t="shared" si="0"/>
        <v>0</v>
      </c>
      <c r="G22" s="385"/>
      <c r="H22" s="1671"/>
      <c r="I22" s="1671"/>
    </row>
    <row r="23" spans="1:9" ht="67.5" customHeight="1" thickBot="1" x14ac:dyDescent="0.25">
      <c r="A23" s="283" t="str">
        <f>OF!A148</f>
        <v>OF33</v>
      </c>
      <c r="B23" s="3" t="str">
        <f>OF!B148</f>
        <v>Other Conservation Designation</v>
      </c>
      <c r="C23" s="622" t="str">
        <f>OF!C148</f>
        <v>With GeoNB, click on Candidate PNA Map Viewer to identify Provincially Significant Wetland, Environmentally Significant Area, Protected Natural Area -- but also include if the AA is all or part of an area designated by government, FIrst Nations, or the Nature Conservancy of Canada (NCC) for its exceptional ecological features or highly intact natural conditions.  Enter: yes= 1, no= 0.  If uncertain, consult NCC and agencies for more recent information.</v>
      </c>
      <c r="D23" s="460">
        <f>OF!D148</f>
        <v>0</v>
      </c>
      <c r="E23" s="115"/>
      <c r="F23" s="116"/>
      <c r="G23" s="318">
        <f>IF((D23=""),"",D23)</f>
        <v>0</v>
      </c>
      <c r="H23" s="36" t="s">
        <v>2219</v>
      </c>
      <c r="I23" s="36" t="s">
        <v>2218</v>
      </c>
    </row>
    <row r="24" spans="1:9" ht="45" customHeight="1" thickBot="1" x14ac:dyDescent="0.25">
      <c r="A24" s="433" t="str">
        <f>OF!A149</f>
        <v>OF34</v>
      </c>
      <c r="B24" s="68" t="str">
        <f>OF!B149</f>
        <v>Conservation Investment</v>
      </c>
      <c r="C24" s="622" t="str">
        <f>OF!C149</f>
        <v>The AA is part of or contiguous to a wetland on which public or private organizational funds were spent to preserve, create, restore, or enhance the wetland (excluding mitigation wetlands). Ask the property owner. Enter: yes= 1, no= 0. If no information, change to blank (not 0).</v>
      </c>
      <c r="D24" s="900" t="str">
        <f>IF((OF!D149=""),"",OF!D149)</f>
        <v/>
      </c>
      <c r="E24" s="117"/>
      <c r="F24" s="118"/>
      <c r="G24" s="598" t="str">
        <f>IF((D24=""),"",D24)</f>
        <v/>
      </c>
      <c r="H24" s="68" t="s">
        <v>481</v>
      </c>
      <c r="I24" s="787" t="s">
        <v>524</v>
      </c>
    </row>
    <row r="25" spans="1:9" ht="30" customHeight="1" thickBot="1" x14ac:dyDescent="0.25">
      <c r="A25" s="283" t="str">
        <f>OF!A150</f>
        <v>OF35</v>
      </c>
      <c r="B25" s="3" t="str">
        <f>OF!B150</f>
        <v>Mitigation Investment</v>
      </c>
      <c r="C25" s="88" t="str">
        <f>OF!C150</f>
        <v>The AA is all or part of a mitigation site used explicitly to offset impacts elsewhere. Ask the property owner.  Enter: yes= 1, no= 0. If no information, change to blank.</v>
      </c>
      <c r="D25" s="114" t="str">
        <f>IF((OF!D150=""),"",OF!D150)</f>
        <v/>
      </c>
      <c r="E25" s="115" t="s">
        <v>912</v>
      </c>
      <c r="F25" s="116"/>
      <c r="G25" s="318" t="str">
        <f>IF((D25=""),"",D25)</f>
        <v/>
      </c>
      <c r="H25" s="3" t="s">
        <v>480</v>
      </c>
      <c r="I25" s="3" t="s">
        <v>523</v>
      </c>
    </row>
    <row r="26" spans="1:9" ht="63.75" customHeight="1" thickBot="1" x14ac:dyDescent="0.25">
      <c r="A26" s="436" t="str">
        <f>OF!A151</f>
        <v>OF36</v>
      </c>
      <c r="B26" s="435" t="str">
        <f>OF!B151</f>
        <v>Sustained Scientific Use</v>
      </c>
      <c r="C26" s="1281" t="str">
        <f>OF!C151</f>
        <v>Plants, animals, or water in the AA have been monitored for &gt;2 years, unrelated to any regulatory requirements, and data are available to the public. Or the AA is part of an area that has been designated by an agency or institution as a benchmark, reference, or status-trends monitoring area.  Ask the property owner.  Enter: yes= 1, no= 0. If no information, change to blank.</v>
      </c>
      <c r="D26" s="114" t="str">
        <f>IF((OF!D151=""),"",OF!D151)</f>
        <v/>
      </c>
      <c r="E26" s="600"/>
      <c r="F26" s="601"/>
      <c r="G26" s="602" t="str">
        <f>IF((D26=""),"",D26)</f>
        <v/>
      </c>
      <c r="H26" s="435" t="s">
        <v>479</v>
      </c>
      <c r="I26" s="3" t="s">
        <v>525</v>
      </c>
    </row>
    <row r="27" spans="1:9" ht="30" customHeight="1" thickBot="1" x14ac:dyDescent="0.25">
      <c r="A27" s="1721" t="str">
        <f>OF!A153</f>
        <v>OF38</v>
      </c>
      <c r="B27" s="1721" t="str">
        <f>OF!B153</f>
        <v xml:space="preserve">Ownership </v>
      </c>
      <c r="C27" s="3" t="str">
        <f>OF!C153</f>
        <v>Select the ONE ownership that covers the most of the AA. In Google Earth, open KMZ file called NB Crown lands.Use more recent information if available.</v>
      </c>
      <c r="D27" s="1320"/>
      <c r="E27" s="600"/>
      <c r="F27" s="111"/>
      <c r="G27" s="452">
        <f>MAX(F28:F31)/MAX(E28:E31)</f>
        <v>0</v>
      </c>
      <c r="H27" s="1693" t="s">
        <v>477</v>
      </c>
      <c r="I27" s="1669" t="s">
        <v>444</v>
      </c>
    </row>
    <row r="28" spans="1:9" ht="42" customHeight="1" x14ac:dyDescent="0.2">
      <c r="A28" s="1703"/>
      <c r="B28" s="1703"/>
      <c r="C28" s="813" t="str">
        <f>OF!C154</f>
        <v>New timber harvest, roads, mineral extraction, and intensive summer recreation (e.g., off-road vehicles) are permanently prohibited. Includes many publicly-owned Protected Lands, and private lands under long-term (30+ year) legal agreements to maintain nearly-unaltered conditions.</v>
      </c>
      <c r="D28" s="146">
        <f>OF!D154</f>
        <v>0</v>
      </c>
      <c r="E28" s="35">
        <v>4</v>
      </c>
      <c r="F28" s="35">
        <f>D28*E28</f>
        <v>0</v>
      </c>
      <c r="G28" s="461"/>
      <c r="H28" s="1696"/>
      <c r="I28" s="1670"/>
    </row>
    <row r="29" spans="1:9" ht="27" customHeight="1" x14ac:dyDescent="0.2">
      <c r="A29" s="1703"/>
      <c r="B29" s="1703"/>
      <c r="C29" s="398" t="str">
        <f>OF!C155</f>
        <v>Ownership is public (e.g., municipal, Crown Reservations/Notations) but some or all of the above activities are allowed.</v>
      </c>
      <c r="D29" s="33">
        <f>OF!D155</f>
        <v>0</v>
      </c>
      <c r="E29" s="35">
        <v>2</v>
      </c>
      <c r="F29" s="35">
        <f>D29*E29</f>
        <v>0</v>
      </c>
      <c r="G29" s="462"/>
      <c r="H29" s="1696"/>
      <c r="I29" s="1670"/>
    </row>
    <row r="30" spans="1:9" ht="27" customHeight="1" x14ac:dyDescent="0.2">
      <c r="A30" s="1703"/>
      <c r="B30" s="1703"/>
      <c r="C30" s="398" t="str">
        <f>OF!C156</f>
        <v>Ownership is private but public access is allowed, and/or a shorter-term conservation easement (whether renewable or not) is in place.</v>
      </c>
      <c r="D30" s="33">
        <f>OF!D156</f>
        <v>0</v>
      </c>
      <c r="E30" s="35">
        <v>2</v>
      </c>
      <c r="F30" s="35">
        <f>D30*E30</f>
        <v>0</v>
      </c>
      <c r="G30" s="634"/>
      <c r="H30" s="1696"/>
      <c r="I30" s="1670"/>
    </row>
    <row r="31" spans="1:9" ht="27" customHeight="1" thickBot="1" x14ac:dyDescent="0.25">
      <c r="A31" s="1722"/>
      <c r="B31" s="1722"/>
      <c r="C31" s="1057" t="str">
        <f>OF!C157</f>
        <v>Ownership is private and owner does not allow access, or access permission unknown, and not a conservation easement.</v>
      </c>
      <c r="D31" s="84">
        <f>OF!D157</f>
        <v>0</v>
      </c>
      <c r="E31" s="112">
        <v>1</v>
      </c>
      <c r="F31" s="112">
        <f>D31*E31</f>
        <v>0</v>
      </c>
      <c r="G31" s="463"/>
      <c r="H31" s="1696"/>
      <c r="I31" s="1671"/>
    </row>
    <row r="32" spans="1:9" ht="30" customHeight="1" thickBot="1" x14ac:dyDescent="0.25">
      <c r="A32" s="173" t="str">
        <f>F!A120</f>
        <v>F23</v>
      </c>
      <c r="B32" s="119" t="str">
        <f>F!B120</f>
        <v>Lacustrine Wetland</v>
      </c>
      <c r="C32" s="438" t="str">
        <f>F!C120</f>
        <v>The vegetated part of the AA is within or adjacent to a body of non-tidal standing open water whose size exceeds 8 hectares during most of a normal year.</v>
      </c>
      <c r="D32" s="121">
        <f>F!D120</f>
        <v>0</v>
      </c>
      <c r="E32" s="115"/>
      <c r="F32" s="116"/>
      <c r="G32" s="318" t="str">
        <f>IF((D32=1),1,"")</f>
        <v/>
      </c>
      <c r="H32" s="805" t="s">
        <v>1158</v>
      </c>
      <c r="I32" s="3" t="s">
        <v>1159</v>
      </c>
    </row>
    <row r="33" spans="1:9" ht="45" customHeight="1" thickBot="1" x14ac:dyDescent="0.25">
      <c r="A33" s="1721" t="str">
        <f>F!A274</f>
        <v>F58</v>
      </c>
      <c r="B33" s="1669" t="str">
        <f>F!B274</f>
        <v>Visibility</v>
      </c>
      <c r="C33" s="3" t="str">
        <f>F!C274</f>
        <v>The maximum percentage of the wetland that is visible from the best vantage point on public roads, public parking lots, public buildings, or public maintained trails that intersect, adjoin, or are within 100 m of the AA (select one) is:</v>
      </c>
      <c r="D33" s="600"/>
      <c r="E33" s="110"/>
      <c r="F33" s="111"/>
      <c r="G33" s="452">
        <f>MAX(F34:F36)/MAX(E34:E36)</f>
        <v>0</v>
      </c>
      <c r="H33" s="1696" t="s">
        <v>476</v>
      </c>
      <c r="I33" s="1669" t="s">
        <v>465</v>
      </c>
    </row>
    <row r="34" spans="1:9" ht="15" customHeight="1" x14ac:dyDescent="0.2">
      <c r="A34" s="1703"/>
      <c r="B34" s="1670"/>
      <c r="C34" s="14" t="str">
        <f>F!C275</f>
        <v>&lt;25%.</v>
      </c>
      <c r="D34" s="33">
        <f>F!D275</f>
        <v>0</v>
      </c>
      <c r="E34" s="464">
        <v>0</v>
      </c>
      <c r="F34" s="35">
        <f>D34*E34</f>
        <v>0</v>
      </c>
      <c r="G34" s="461"/>
      <c r="H34" s="1696"/>
      <c r="I34" s="1670"/>
    </row>
    <row r="35" spans="1:9" ht="15" customHeight="1" x14ac:dyDescent="0.2">
      <c r="A35" s="1703"/>
      <c r="B35" s="1670"/>
      <c r="C35" s="4" t="str">
        <f>F!C276</f>
        <v>25-50%.</v>
      </c>
      <c r="D35" s="33">
        <f>F!D276</f>
        <v>0</v>
      </c>
      <c r="E35" s="464">
        <v>1</v>
      </c>
      <c r="F35" s="35">
        <f>D35*E35</f>
        <v>0</v>
      </c>
      <c r="G35" s="462"/>
      <c r="H35" s="1696"/>
      <c r="I35" s="1670"/>
    </row>
    <row r="36" spans="1:9" ht="15" customHeight="1" thickBot="1" x14ac:dyDescent="0.25">
      <c r="A36" s="1722"/>
      <c r="B36" s="1671"/>
      <c r="C36" s="85" t="str">
        <f>F!C277</f>
        <v>&gt;50%.</v>
      </c>
      <c r="D36" s="84">
        <f>F!D277</f>
        <v>0</v>
      </c>
      <c r="E36" s="633">
        <v>2</v>
      </c>
      <c r="F36" s="112">
        <f>D36*E36</f>
        <v>0</v>
      </c>
      <c r="G36" s="463"/>
      <c r="H36" s="1696"/>
      <c r="I36" s="1671"/>
    </row>
    <row r="37" spans="1:9" ht="30" customHeight="1" thickBot="1" x14ac:dyDescent="0.25">
      <c r="A37" s="1987" t="str">
        <f>F!A278</f>
        <v>F59</v>
      </c>
      <c r="B37" s="1805" t="str">
        <f>F!B278</f>
        <v xml:space="preserve">Non-consumptive Uses - Actual or Potential </v>
      </c>
      <c r="C37" s="3" t="str">
        <f>F!C278</f>
        <v>Assuming access permission was granted, select ALL statements that are true of the AA as it currently exists:</v>
      </c>
      <c r="D37" s="117"/>
      <c r="E37" s="38"/>
      <c r="F37" s="50"/>
      <c r="G37" s="332">
        <f>SUM(D38:D40)/3</f>
        <v>0</v>
      </c>
      <c r="H37" s="1669" t="s">
        <v>998</v>
      </c>
      <c r="I37" s="1669" t="s">
        <v>520</v>
      </c>
    </row>
    <row r="38" spans="1:9" ht="27" customHeight="1" x14ac:dyDescent="0.2">
      <c r="A38" s="1921"/>
      <c r="B38" s="1803"/>
      <c r="C38" s="14" t="str">
        <f>F!C279</f>
        <v>For an average person, walking is physically possible in (not just near) &gt;5% of the AA during most of the growing season, e.g., free of deep water and dense shrub thickets.</v>
      </c>
      <c r="D38" s="128">
        <f>F!D279</f>
        <v>0</v>
      </c>
      <c r="E38" s="35">
        <v>1</v>
      </c>
      <c r="F38" s="35"/>
      <c r="G38" s="383"/>
      <c r="H38" s="1670"/>
      <c r="I38" s="1670"/>
    </row>
    <row r="39" spans="1:9" ht="27" customHeight="1" x14ac:dyDescent="0.2">
      <c r="A39" s="1921"/>
      <c r="B39" s="1803"/>
      <c r="C39" s="4" t="str">
        <f>F!C280</f>
        <v>Maintained roads, parking areas, or foot-trails are within 10 m of the AA, or the AA can be accessed part of the year by boats arriving via contiguous waters.</v>
      </c>
      <c r="D39" s="128">
        <f>F!D280</f>
        <v>0</v>
      </c>
      <c r="E39" s="35">
        <v>1</v>
      </c>
      <c r="F39" s="35"/>
      <c r="G39" s="384"/>
      <c r="H39" s="1670"/>
      <c r="I39" s="1670"/>
    </row>
    <row r="40" spans="1:9" ht="27" customHeight="1" thickBot="1" x14ac:dyDescent="0.25">
      <c r="A40" s="1922"/>
      <c r="B40" s="1804"/>
      <c r="C40" s="85" t="str">
        <f>F!C281</f>
        <v xml:space="preserve">Within or near the AA, there is an interpretive center, trails with interpretive signs or brochures, and/or regular guided interpretive tours. </v>
      </c>
      <c r="D40" s="84">
        <f>F!D281</f>
        <v>0</v>
      </c>
      <c r="E40" s="112">
        <v>1</v>
      </c>
      <c r="F40" s="112"/>
      <c r="G40" s="385"/>
      <c r="H40" s="1671"/>
      <c r="I40" s="1671"/>
    </row>
    <row r="41" spans="1:9" ht="66.75" customHeight="1" thickBot="1" x14ac:dyDescent="0.25">
      <c r="A41" s="1721" t="str">
        <f>F!A282</f>
        <v>F60</v>
      </c>
      <c r="B41" s="1669" t="str">
        <f>F!B282</f>
        <v xml:space="preserve">Unvisited Core Area </v>
      </c>
      <c r="C41" s="3" t="str">
        <f>F!C282</f>
        <v>The percentage of the AA almost never visited by humans during an average growing season probably comprises: [Note: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v>
      </c>
      <c r="D41" s="946"/>
      <c r="E41" s="110"/>
      <c r="F41" s="111"/>
      <c r="G41" s="318">
        <f>MAX(F42:F47)/MAX(E42:E47)</f>
        <v>0</v>
      </c>
      <c r="H41" s="1669" t="s">
        <v>478</v>
      </c>
      <c r="I41" s="1669" t="s">
        <v>574</v>
      </c>
    </row>
    <row r="42" spans="1:9" ht="15" customHeight="1" x14ac:dyDescent="0.2">
      <c r="A42" s="1703"/>
      <c r="B42" s="1670"/>
      <c r="C42" s="14" t="str">
        <f>F!C283</f>
        <v>&lt;5% and no inhabited building is within 100 m of the AA.</v>
      </c>
      <c r="D42" s="128">
        <f>F!D283</f>
        <v>0</v>
      </c>
      <c r="E42" s="35">
        <v>4</v>
      </c>
      <c r="F42" s="35">
        <f t="shared" ref="F42:F47" si="1">D42*E42</f>
        <v>0</v>
      </c>
      <c r="G42" s="383"/>
      <c r="H42" s="1670"/>
      <c r="I42" s="1670"/>
    </row>
    <row r="43" spans="1:9" ht="15" customHeight="1" x14ac:dyDescent="0.2">
      <c r="A43" s="1703"/>
      <c r="B43" s="1670"/>
      <c r="C43" s="4" t="str">
        <f>F!C284</f>
        <v>&lt;5% and inhabited building is within 100 m of the AA.</v>
      </c>
      <c r="D43" s="128">
        <f>F!D284</f>
        <v>0</v>
      </c>
      <c r="E43" s="35">
        <v>5</v>
      </c>
      <c r="F43" s="35">
        <f t="shared" si="1"/>
        <v>0</v>
      </c>
      <c r="G43" s="384"/>
      <c r="H43" s="1670"/>
      <c r="I43" s="1670"/>
    </row>
    <row r="44" spans="1:9" ht="15" customHeight="1" x14ac:dyDescent="0.2">
      <c r="A44" s="1703"/>
      <c r="B44" s="1670"/>
      <c r="C44" s="4" t="str">
        <f>F!C285</f>
        <v>5-50% and no inhabited building is within 100 m of the AA.</v>
      </c>
      <c r="D44" s="128">
        <f>F!D285</f>
        <v>0</v>
      </c>
      <c r="E44" s="35">
        <v>2</v>
      </c>
      <c r="F44" s="35">
        <f t="shared" si="1"/>
        <v>0</v>
      </c>
      <c r="G44" s="384"/>
      <c r="H44" s="1670"/>
      <c r="I44" s="1670"/>
    </row>
    <row r="45" spans="1:9" ht="15" customHeight="1" x14ac:dyDescent="0.2">
      <c r="A45" s="1703"/>
      <c r="B45" s="1670"/>
      <c r="C45" s="4" t="str">
        <f>F!C286</f>
        <v>5-50% and inhabited building is within 100 m of the AA.</v>
      </c>
      <c r="D45" s="128">
        <f>F!D286</f>
        <v>0</v>
      </c>
      <c r="E45" s="35">
        <v>3</v>
      </c>
      <c r="F45" s="35">
        <f t="shared" si="1"/>
        <v>0</v>
      </c>
      <c r="G45" s="384"/>
      <c r="H45" s="1670"/>
      <c r="I45" s="1670"/>
    </row>
    <row r="46" spans="1:9" ht="15" customHeight="1" x14ac:dyDescent="0.2">
      <c r="A46" s="1703"/>
      <c r="B46" s="1670"/>
      <c r="C46" s="4" t="str">
        <f>F!C287</f>
        <v>50-95%, with or without inhabited building nearby.</v>
      </c>
      <c r="D46" s="128">
        <f>F!D287</f>
        <v>0</v>
      </c>
      <c r="E46" s="35">
        <v>1</v>
      </c>
      <c r="F46" s="35">
        <f t="shared" si="1"/>
        <v>0</v>
      </c>
      <c r="G46" s="384"/>
      <c r="H46" s="1670"/>
      <c r="I46" s="1670"/>
    </row>
    <row r="47" spans="1:9" ht="15" customHeight="1" thickBot="1" x14ac:dyDescent="0.25">
      <c r="A47" s="1722"/>
      <c r="B47" s="1671"/>
      <c r="C47" s="85" t="str">
        <f>F!C288</f>
        <v>&gt;95% of the AA with or without inhabited building nearby.</v>
      </c>
      <c r="D47" s="84">
        <f>F!D288</f>
        <v>0</v>
      </c>
      <c r="E47" s="112">
        <v>0</v>
      </c>
      <c r="F47" s="112">
        <f t="shared" si="1"/>
        <v>0</v>
      </c>
      <c r="G47" s="385"/>
      <c r="H47" s="1671"/>
      <c r="I47" s="1671"/>
    </row>
    <row r="48" spans="1:9" ht="30" customHeight="1" thickBot="1" x14ac:dyDescent="0.25">
      <c r="A48" s="1721" t="str">
        <f>F!A289</f>
        <v>F61</v>
      </c>
      <c r="B48" s="1669" t="str">
        <f>F!B289</f>
        <v>Frequently Visited Area</v>
      </c>
      <c r="C48" s="3" t="str">
        <f>F!C289</f>
        <v>The part of the AA visited by humans almost daily for several weeks during an average growing season probably comprises:  [See note above.]</v>
      </c>
      <c r="D48" s="946"/>
      <c r="E48" s="110"/>
      <c r="F48" s="111"/>
      <c r="G48" s="318">
        <f>MAX(F49:F52)/MAX(E49:E52)</f>
        <v>0</v>
      </c>
      <c r="H48" s="1669" t="s">
        <v>87</v>
      </c>
      <c r="I48" s="1669" t="s">
        <v>575</v>
      </c>
    </row>
    <row r="49" spans="1:9" ht="15" customHeight="1" x14ac:dyDescent="0.2">
      <c r="A49" s="1703"/>
      <c r="B49" s="1670"/>
      <c r="C49" s="14" t="str">
        <f>F!C290</f>
        <v>&lt;5%. If F60 was answered "&gt;95%" (mostly never visited), SKIP to F64.</v>
      </c>
      <c r="D49" s="33">
        <f>F!D290</f>
        <v>0</v>
      </c>
      <c r="E49" s="35">
        <v>0</v>
      </c>
      <c r="F49" s="35">
        <f>D49*E49</f>
        <v>0</v>
      </c>
      <c r="G49" s="383"/>
      <c r="H49" s="1670"/>
      <c r="I49" s="1670"/>
    </row>
    <row r="50" spans="1:9" ht="15" customHeight="1" x14ac:dyDescent="0.2">
      <c r="A50" s="1703"/>
      <c r="B50" s="1670"/>
      <c r="C50" s="4" t="str">
        <f>F!C291</f>
        <v>5-50%.</v>
      </c>
      <c r="D50" s="33">
        <f>F!D291</f>
        <v>0</v>
      </c>
      <c r="E50" s="35">
        <v>1</v>
      </c>
      <c r="F50" s="35">
        <f>D50*E50</f>
        <v>0</v>
      </c>
      <c r="G50" s="384"/>
      <c r="H50" s="1670"/>
      <c r="I50" s="1670"/>
    </row>
    <row r="51" spans="1:9" ht="15" customHeight="1" x14ac:dyDescent="0.2">
      <c r="A51" s="1703"/>
      <c r="B51" s="1670"/>
      <c r="C51" s="4" t="str">
        <f>F!C292</f>
        <v>50-95%.</v>
      </c>
      <c r="D51" s="183">
        <f>F!D292</f>
        <v>0</v>
      </c>
      <c r="E51" s="35">
        <v>2</v>
      </c>
      <c r="F51" s="35">
        <f>D51*E51</f>
        <v>0</v>
      </c>
      <c r="G51" s="384"/>
      <c r="H51" s="1670"/>
      <c r="I51" s="1670"/>
    </row>
    <row r="52" spans="1:9" ht="15" customHeight="1" thickBot="1" x14ac:dyDescent="0.25">
      <c r="A52" s="1722"/>
      <c r="B52" s="1671"/>
      <c r="C52" s="85" t="str">
        <f>F!C293</f>
        <v>&gt;95% of the AA.</v>
      </c>
      <c r="D52" s="84">
        <f>F!D293</f>
        <v>0</v>
      </c>
      <c r="E52" s="112">
        <v>3</v>
      </c>
      <c r="F52" s="112">
        <f>D52*E52</f>
        <v>0</v>
      </c>
      <c r="G52" s="385"/>
      <c r="H52" s="1671"/>
      <c r="I52" s="1671"/>
    </row>
    <row r="53" spans="1:9" ht="30" customHeight="1" thickBot="1" x14ac:dyDescent="0.25">
      <c r="A53" s="397" t="str">
        <f>F!A294</f>
        <v>F62</v>
      </c>
      <c r="B53" s="68" t="str">
        <f>F!B294</f>
        <v>BMP - Soils</v>
      </c>
      <c r="C53" s="222" t="str">
        <f>F!C294</f>
        <v>Boardwalks, paved trails, fences or other infrastructure and/or well-enforced regulations appear to effectively prevent visitors from walking on soil within nearly all of the AA when the soil is unfrozen. Enter "1" if true.</v>
      </c>
      <c r="D53" s="151">
        <f>F!D294</f>
        <v>0</v>
      </c>
      <c r="E53" s="117"/>
      <c r="F53" s="117"/>
      <c r="G53" s="598">
        <f>IF((D47+D49&gt;1),"",D53)</f>
        <v>0</v>
      </c>
      <c r="H53" s="68" t="s">
        <v>1108</v>
      </c>
      <c r="I53" s="787" t="s">
        <v>1038</v>
      </c>
    </row>
    <row r="54" spans="1:9" ht="60" customHeight="1" thickBot="1" x14ac:dyDescent="0.25">
      <c r="A54" s="88" t="str">
        <f>F!A295</f>
        <v>F63</v>
      </c>
      <c r="B54" s="3" t="str">
        <f>F!B295</f>
        <v>BMP - Wildlife Protection</v>
      </c>
      <c r="C54" s="622" t="str">
        <f>F!C295</f>
        <v xml:space="preserve">Fences, observation blinds, platforms, paved trails, exclusion periods, and/or well-enforced prohibitions on motorised boats, off-leash pets, and off road vehicles appear to effectively exclude or divert visitors and their pets from the AA at critical times in order to minimize disturbance of wildlife (except during hunting seasons). Enter "1" if true. </v>
      </c>
      <c r="D54" s="147">
        <f>F!D295</f>
        <v>0</v>
      </c>
      <c r="E54" s="115"/>
      <c r="F54" s="115"/>
      <c r="G54" s="318">
        <f>IF((D47+D49&gt;1),"",D54)</f>
        <v>0</v>
      </c>
      <c r="H54" s="3" t="s">
        <v>87</v>
      </c>
      <c r="I54" s="3" t="s">
        <v>1039</v>
      </c>
    </row>
    <row r="55" spans="1:9" ht="21" customHeight="1" thickBot="1" x14ac:dyDescent="0.25">
      <c r="A55" s="2176"/>
      <c r="B55" s="2176"/>
      <c r="C55" s="2176"/>
      <c r="D55" s="2176"/>
      <c r="E55" s="2176"/>
      <c r="F55" s="2176"/>
      <c r="G55" s="2176"/>
      <c r="H55" s="2176"/>
    </row>
    <row r="56" spans="1:9" ht="30" customHeight="1" x14ac:dyDescent="0.2">
      <c r="A56" s="2178"/>
      <c r="B56" s="2178"/>
      <c r="C56" s="2178"/>
      <c r="D56" s="1959" t="s">
        <v>1142</v>
      </c>
      <c r="E56" s="1960"/>
      <c r="F56" s="1960"/>
      <c r="G56" s="916">
        <f>AVERAGE(Ownership,Visibility,DistRdPU, Core1PU,Core2PU,PopCtrDisPU,TidalProxPU)</f>
        <v>0</v>
      </c>
      <c r="H56" s="1029" t="s">
        <v>2054</v>
      </c>
      <c r="I56" s="1030" t="s">
        <v>2175</v>
      </c>
    </row>
    <row r="57" spans="1:9" ht="21" customHeight="1" x14ac:dyDescent="0.2">
      <c r="A57" s="2178"/>
      <c r="B57" s="2178"/>
      <c r="C57" s="2178"/>
      <c r="D57" s="1961" t="s">
        <v>526</v>
      </c>
      <c r="E57" s="1962"/>
      <c r="F57" s="1962"/>
      <c r="G57" s="917">
        <f>IFERROR(MAX(MitigaSite,ConsInvest,ConsDesig1,SciUse),"")</f>
        <v>0</v>
      </c>
      <c r="H57" s="1016" t="s">
        <v>2220</v>
      </c>
      <c r="I57" s="1031" t="s">
        <v>2176</v>
      </c>
    </row>
    <row r="58" spans="1:9" ht="21" customHeight="1" thickBot="1" x14ac:dyDescent="0.25">
      <c r="A58" s="2178"/>
      <c r="B58" s="2178"/>
      <c r="C58" s="2178"/>
      <c r="D58" s="1963" t="s">
        <v>1143</v>
      </c>
      <c r="E58" s="1964"/>
      <c r="F58" s="1964"/>
      <c r="G58" s="918">
        <f>AVERAGE(RecreaPoten, BMPsoilsPU,BMPwildPU,LakePU)</f>
        <v>0</v>
      </c>
      <c r="H58" s="1032" t="s">
        <v>1162</v>
      </c>
      <c r="I58" s="1033" t="s">
        <v>2177</v>
      </c>
    </row>
    <row r="59" spans="1:9" ht="21" customHeight="1" thickBot="1" x14ac:dyDescent="0.25">
      <c r="A59" s="2178"/>
      <c r="B59" s="2178"/>
      <c r="C59" s="2178"/>
      <c r="D59" s="2177"/>
      <c r="E59" s="2177"/>
      <c r="F59" s="2177"/>
      <c r="G59" s="2177"/>
      <c r="H59" s="2178"/>
    </row>
    <row r="60" spans="1:9" ht="30" customHeight="1" thickBot="1" x14ac:dyDescent="0.25">
      <c r="A60" s="2178"/>
      <c r="B60" s="2179"/>
      <c r="C60" s="1838" t="s">
        <v>1919</v>
      </c>
      <c r="D60" s="1839"/>
      <c r="E60" s="1840"/>
      <c r="F60" s="915" t="s">
        <v>2223</v>
      </c>
      <c r="G60" s="1014">
        <f>10*(AVERAGE(Conven,Invest,RecPot))</f>
        <v>0</v>
      </c>
      <c r="H60" s="1807" t="s">
        <v>1034</v>
      </c>
      <c r="I60" s="1808"/>
    </row>
  </sheetData>
  <sheetProtection algorithmName="SHA-512" hashValue="Z6UUw/zwqz8w0L3MhqXNw6kpJdth83oHpDLEhjPrQlTqqgQwwMFIrg6COGsXqUAFWnxt65xORTu7YD22SKkqpA==" saltValue="6pnOajK03wiG85VyJKdNqw==" spinCount="100000" sheet="1" formatCells="0" formatColumns="0" formatRows="0"/>
  <customSheetViews>
    <customSheetView guid="{B8E02330-2419-4DE6-AD01-7ACC7A5D18DD}" scale="75">
      <pageMargins left="0.75" right="0.75" top="1" bottom="1" header="0.5" footer="0.5"/>
      <pageSetup orientation="portrait" r:id="rId1"/>
      <headerFooter alignWithMargins="0"/>
    </customSheetView>
  </customSheetViews>
  <mergeCells count="43">
    <mergeCell ref="B33:B36"/>
    <mergeCell ref="A33:A36"/>
    <mergeCell ref="I33:I36"/>
    <mergeCell ref="E1:I1"/>
    <mergeCell ref="I3:I8"/>
    <mergeCell ref="I9:I15"/>
    <mergeCell ref="B27:B31"/>
    <mergeCell ref="A27:A31"/>
    <mergeCell ref="H3:H8"/>
    <mergeCell ref="A3:A8"/>
    <mergeCell ref="B3:B8"/>
    <mergeCell ref="A9:A15"/>
    <mergeCell ref="A1:B1"/>
    <mergeCell ref="B9:B15"/>
    <mergeCell ref="A16:A22"/>
    <mergeCell ref="B16:B22"/>
    <mergeCell ref="B37:B40"/>
    <mergeCell ref="A37:A40"/>
    <mergeCell ref="B41:B47"/>
    <mergeCell ref="A41:A47"/>
    <mergeCell ref="A60:B60"/>
    <mergeCell ref="A55:C59"/>
    <mergeCell ref="B48:B52"/>
    <mergeCell ref="A48:A52"/>
    <mergeCell ref="H9:H15"/>
    <mergeCell ref="H16:H22"/>
    <mergeCell ref="H33:H36"/>
    <mergeCell ref="D58:F58"/>
    <mergeCell ref="D57:F57"/>
    <mergeCell ref="I16:I22"/>
    <mergeCell ref="D56:F56"/>
    <mergeCell ref="H60:I60"/>
    <mergeCell ref="I27:I31"/>
    <mergeCell ref="I37:I40"/>
    <mergeCell ref="I41:I47"/>
    <mergeCell ref="I48:I52"/>
    <mergeCell ref="H27:H31"/>
    <mergeCell ref="H37:H40"/>
    <mergeCell ref="D55:H55"/>
    <mergeCell ref="D59:H59"/>
    <mergeCell ref="H41:H47"/>
    <mergeCell ref="H48:H52"/>
    <mergeCell ref="C60:E60"/>
  </mergeCells>
  <phoneticPr fontId="3" type="noConversion"/>
  <pageMargins left="0.75" right="0.75" top="1" bottom="1" header="0.5" footer="0.5"/>
  <pageSetup orientation="portrait" r:id="rId2"/>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indexed="50"/>
  </sheetPr>
  <dimension ref="A1:I71"/>
  <sheetViews>
    <sheetView zoomScaleNormal="100" workbookViewId="0">
      <selection activeCell="J54" sqref="J54"/>
    </sheetView>
  </sheetViews>
  <sheetFormatPr defaultColWidth="9.33203125" defaultRowHeight="12.75" x14ac:dyDescent="0.2"/>
  <cols>
    <col min="1" max="1" width="5.5" style="6" customWidth="1"/>
    <col min="2" max="2" width="18.83203125" style="2" customWidth="1"/>
    <col min="3" max="3" width="75.83203125" style="2" customWidth="1"/>
    <col min="4" max="6" width="7.83203125" style="395" customWidth="1"/>
    <col min="7" max="7" width="9.33203125" style="396" customWidth="1"/>
    <col min="8" max="8" width="64.83203125" style="2" customWidth="1"/>
    <col min="9" max="9" width="9.83203125" style="2" customWidth="1"/>
    <col min="10" max="16384" width="9.33203125" style="2"/>
  </cols>
  <sheetData>
    <row r="1" spans="1:9" s="1412" customFormat="1" ht="91.5" customHeight="1" thickBot="1" x14ac:dyDescent="0.25">
      <c r="A1" s="2162" t="s">
        <v>443</v>
      </c>
      <c r="B1" s="2163"/>
      <c r="C1" s="1452" t="s">
        <v>1481</v>
      </c>
      <c r="D1" s="1408" t="s">
        <v>2271</v>
      </c>
      <c r="E1" s="1929"/>
      <c r="F1" s="1930"/>
      <c r="G1" s="1930"/>
      <c r="H1" s="1930"/>
      <c r="I1" s="1930"/>
    </row>
    <row r="2" spans="1:9" s="56" customFormat="1" ht="36" customHeight="1" thickBot="1" x14ac:dyDescent="0.25">
      <c r="A2" s="850" t="s">
        <v>88</v>
      </c>
      <c r="B2" s="850" t="s">
        <v>959</v>
      </c>
      <c r="C2" s="866" t="s">
        <v>1164</v>
      </c>
      <c r="D2" s="865" t="s">
        <v>45</v>
      </c>
      <c r="E2" s="927" t="s">
        <v>1188</v>
      </c>
      <c r="F2" s="1012" t="s">
        <v>1189</v>
      </c>
      <c r="G2" s="929" t="s">
        <v>2558</v>
      </c>
      <c r="H2" s="850" t="s">
        <v>1117</v>
      </c>
      <c r="I2" s="1015" t="s">
        <v>2427</v>
      </c>
    </row>
    <row r="3" spans="1:9" ht="32.25" customHeight="1" thickBot="1" x14ac:dyDescent="0.25">
      <c r="A3" s="1693" t="str">
        <f>OF!A139</f>
        <v>OF29</v>
      </c>
      <c r="B3" s="1713" t="str">
        <f>OF!B139</f>
        <v>Species of Conservation Concern</v>
      </c>
      <c r="C3" s="813" t="str">
        <f>OF!C139</f>
        <v>Within the past 10 years, in the AA (or in its adjoining waters or wetland), qualified observers have documented [mark all applicable]:</v>
      </c>
      <c r="D3" s="202"/>
      <c r="E3" s="191"/>
      <c r="F3" s="192"/>
      <c r="G3" s="452">
        <f>IF((D8=1),"",((MAX(F4:F8)) + (AVERAGE(F4:F8))) /2)</f>
        <v>0</v>
      </c>
      <c r="H3" s="1693" t="s">
        <v>1482</v>
      </c>
      <c r="I3" s="1669" t="s">
        <v>542</v>
      </c>
    </row>
    <row r="4" spans="1:9" ht="30" customHeight="1" x14ac:dyDescent="0.2">
      <c r="A4" s="1696"/>
      <c r="B4" s="1714"/>
      <c r="C4" s="628" t="str">
        <f>OF!C140</f>
        <v xml:space="preserve">Presence of one or more of the plant species listed in the Plants_Rare worksheet of the accompanying SuppInfo file, or the AA is within a mapped Atlantic Coastal Plain Flora Buffer </v>
      </c>
      <c r="D4" s="1321">
        <f>OF!D140</f>
        <v>0</v>
      </c>
      <c r="E4" s="187">
        <v>1</v>
      </c>
      <c r="F4" s="212">
        <f>D4*E4</f>
        <v>0</v>
      </c>
      <c r="G4" s="462"/>
      <c r="H4" s="1696"/>
      <c r="I4" s="1670"/>
    </row>
    <row r="5" spans="1:9" ht="30" customHeight="1" x14ac:dyDescent="0.2">
      <c r="A5" s="1696"/>
      <c r="B5" s="1714"/>
      <c r="C5" s="628" t="str">
        <f>OF!C141</f>
        <v>Presence of one or more of the amphibian or reptile species (AM) of conservation concern as listed in the Wildlife_Rare worksheet of the accompanying SuppInfo file.</v>
      </c>
      <c r="D5" s="146">
        <f>OF!D141</f>
        <v>0</v>
      </c>
      <c r="E5" s="203">
        <v>1</v>
      </c>
      <c r="F5" s="212">
        <f>D5*E5</f>
        <v>0</v>
      </c>
      <c r="G5" s="462"/>
      <c r="H5" s="1696"/>
      <c r="I5" s="1670"/>
    </row>
    <row r="6" spans="1:9" ht="30" customHeight="1" x14ac:dyDescent="0.2">
      <c r="A6" s="1696"/>
      <c r="B6" s="1714"/>
      <c r="C6" s="628" t="str">
        <f>OF!C142</f>
        <v>Presence of one or more of the waterbird species (WBF, WBN) of conservation concern as listed in the Wildlife_Rare worksheet of the accompanying SuppInfo file.</v>
      </c>
      <c r="D6" s="146">
        <f>OF!D142</f>
        <v>0</v>
      </c>
      <c r="E6" s="203">
        <v>1</v>
      </c>
      <c r="F6" s="212">
        <f>D6*E6</f>
        <v>0</v>
      </c>
      <c r="G6" s="462"/>
      <c r="H6" s="1696"/>
      <c r="I6" s="1670"/>
    </row>
    <row r="7" spans="1:9" ht="42" customHeight="1" x14ac:dyDescent="0.2">
      <c r="A7" s="1696"/>
      <c r="B7" s="1714"/>
      <c r="C7" s="628" t="str">
        <f>OF!C143</f>
        <v>Presence of one or more of the nesting songbird or raptor species (SBM) of conservation concern as listed in the Wildlife_Rare worksheet of the accompanying SuppInfo file, during their nesting season (May-July for most species).</v>
      </c>
      <c r="D7" s="1571">
        <f>OF!D143</f>
        <v>0</v>
      </c>
      <c r="E7" s="203">
        <v>1</v>
      </c>
      <c r="F7" s="212">
        <f>D7*E7</f>
        <v>0</v>
      </c>
      <c r="G7" s="462"/>
      <c r="H7" s="1696"/>
      <c r="I7" s="1670"/>
    </row>
    <row r="8" spans="1:9" ht="15" customHeight="1" thickBot="1" x14ac:dyDescent="0.25">
      <c r="A8" s="1696"/>
      <c r="B8" s="1714"/>
      <c r="C8" s="677" t="str">
        <f>OF!C144</f>
        <v>None of the above, or no data.</v>
      </c>
      <c r="D8" s="1572">
        <f>OF!D144</f>
        <v>0</v>
      </c>
      <c r="E8" s="188"/>
      <c r="F8" s="216"/>
      <c r="G8" s="463"/>
      <c r="H8" s="1696"/>
      <c r="I8" s="1671"/>
    </row>
    <row r="9" spans="1:9" ht="30" customHeight="1" thickBot="1" x14ac:dyDescent="0.25">
      <c r="A9" s="1721" t="str">
        <f>F!A63</f>
        <v>F11</v>
      </c>
      <c r="B9" s="1669" t="str">
        <f>F!B63</f>
        <v>% Bare Ground &amp; Thatch</v>
      </c>
      <c r="C9" s="787" t="str">
        <f>F!C63</f>
        <v>Consider the parts of the AA that lack surface water at the driest time of the growing season. Viewed from directly above the ground layer, the predominant condition in those areas at that time is:</v>
      </c>
      <c r="D9" s="206"/>
      <c r="E9" s="186"/>
      <c r="F9" s="189"/>
      <c r="G9" s="451">
        <f>IF((D14=1),"",MAX(F10:F13)/MAX(E10:E13))</f>
        <v>0</v>
      </c>
      <c r="H9" s="1669" t="s">
        <v>546</v>
      </c>
      <c r="I9" s="1669" t="s">
        <v>543</v>
      </c>
    </row>
    <row r="10" spans="1:9" ht="42" customHeight="1" x14ac:dyDescent="0.2">
      <c r="A10" s="1703"/>
      <c r="B10" s="1670"/>
      <c r="C10" s="676" t="str">
        <f>F!C64</f>
        <v>Little or no (&lt;5%) bare ground is visible between erect stems or under canopy anywhere in the vegetated AA. Ground is extensively blanketed by dense thatch, moss, lichens, graminoids with great stem densities, or plants with ground-hugging foliage. </v>
      </c>
      <c r="D10" s="33">
        <f>F!D64</f>
        <v>0</v>
      </c>
      <c r="E10" s="187">
        <v>3</v>
      </c>
      <c r="F10" s="212">
        <f>D10*E10</f>
        <v>0</v>
      </c>
      <c r="G10" s="461"/>
      <c r="H10" s="1670"/>
      <c r="I10" s="1670"/>
    </row>
    <row r="11" spans="1:9" ht="27" customHeight="1" x14ac:dyDescent="0.2">
      <c r="A11" s="1703"/>
      <c r="B11" s="1670"/>
      <c r="C11" s="628" t="str">
        <f>F!C65</f>
        <v>Slightly bare ground (5-20% bare between plants) is visible in places, but those areas comprise less than 5% of the unflooded parts of the AA.</v>
      </c>
      <c r="D11" s="33">
        <f>F!D65</f>
        <v>0</v>
      </c>
      <c r="E11" s="187">
        <v>2</v>
      </c>
      <c r="F11" s="212">
        <f>D11*E11</f>
        <v>0</v>
      </c>
      <c r="G11" s="462"/>
      <c r="H11" s="1670"/>
      <c r="I11" s="1670"/>
    </row>
    <row r="12" spans="1:9" ht="27" customHeight="1" x14ac:dyDescent="0.2">
      <c r="A12" s="1703"/>
      <c r="B12" s="1670"/>
      <c r="C12" s="628" t="str">
        <f>F!C66</f>
        <v>Much bare ground (20-50% bare between plants) is visible in places, and those areas comprise more than 5% of the unflooded parts of the AA. </v>
      </c>
      <c r="D12" s="33">
        <f>F!D66</f>
        <v>0</v>
      </c>
      <c r="E12" s="187">
        <v>1</v>
      </c>
      <c r="F12" s="212">
        <f>D12*E12</f>
        <v>0</v>
      </c>
      <c r="G12" s="462"/>
      <c r="H12" s="1670"/>
      <c r="I12" s="1670"/>
    </row>
    <row r="13" spans="1:9" ht="15" customHeight="1" x14ac:dyDescent="0.2">
      <c r="A13" s="1703"/>
      <c r="B13" s="1670"/>
      <c r="C13" s="628" t="str">
        <f>F!C67</f>
        <v>Other conditions.</v>
      </c>
      <c r="D13" s="33">
        <f>F!D67</f>
        <v>0</v>
      </c>
      <c r="E13" s="187">
        <v>0</v>
      </c>
      <c r="F13" s="212">
        <f>D13*E13</f>
        <v>0</v>
      </c>
      <c r="G13" s="462"/>
      <c r="H13" s="1670"/>
      <c r="I13" s="1670"/>
    </row>
    <row r="14" spans="1:9" ht="15" customHeight="1" thickBot="1" x14ac:dyDescent="0.25">
      <c r="A14" s="1722"/>
      <c r="B14" s="1671"/>
      <c r="C14" s="677" t="str">
        <f>F!C68</f>
        <v>Not applicable. Surface water (either open or obscured by emergent plants) covers all of the AA all the time.</v>
      </c>
      <c r="D14" s="84">
        <f>F!D68</f>
        <v>0</v>
      </c>
      <c r="E14" s="188"/>
      <c r="F14" s="188"/>
      <c r="G14" s="463"/>
      <c r="H14" s="1671"/>
      <c r="I14" s="1671"/>
    </row>
    <row r="15" spans="1:9" ht="60" customHeight="1" thickBot="1" x14ac:dyDescent="0.25">
      <c r="A15" s="1721" t="str">
        <f>F!A69</f>
        <v>F12</v>
      </c>
      <c r="B15" s="1669" t="str">
        <f>F!B69</f>
        <v xml:space="preserve">Ground Irregularity </v>
      </c>
      <c r="C15" s="240" t="str">
        <f>F!C69</f>
        <v>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v>
      </c>
      <c r="D15" s="390"/>
      <c r="E15" s="191"/>
      <c r="F15" s="192"/>
      <c r="G15" s="318">
        <f>IF((D14=1),"",MAX(F16:F18)/MAX(E16:E18))</f>
        <v>0</v>
      </c>
      <c r="H15" s="1669" t="s">
        <v>545</v>
      </c>
      <c r="I15" s="1669" t="s">
        <v>544</v>
      </c>
    </row>
    <row r="16" spans="1:9" ht="27" customHeight="1" x14ac:dyDescent="0.2">
      <c r="A16" s="1703"/>
      <c r="B16" s="1670"/>
      <c r="C16" s="14" t="str">
        <f>F!C70</f>
        <v>Few or none (minimal microtopography; &lt;1% of the land has such features, or entire AA is always water-covered).</v>
      </c>
      <c r="D16" s="33">
        <f>F!D70</f>
        <v>0</v>
      </c>
      <c r="E16" s="187">
        <v>0</v>
      </c>
      <c r="F16" s="212">
        <f>D16*E16</f>
        <v>0</v>
      </c>
      <c r="G16" s="383"/>
      <c r="H16" s="1670"/>
      <c r="I16" s="1670"/>
    </row>
    <row r="17" spans="1:9" ht="15" customHeight="1" x14ac:dyDescent="0.2">
      <c r="A17" s="1703"/>
      <c r="B17" s="1670"/>
      <c r="C17" s="4" t="str">
        <f>F!C71</f>
        <v>Intermediate.</v>
      </c>
      <c r="D17" s="33">
        <f>F!D71</f>
        <v>0</v>
      </c>
      <c r="E17" s="187">
        <v>1</v>
      </c>
      <c r="F17" s="212">
        <f>D17*E17</f>
        <v>0</v>
      </c>
      <c r="G17" s="384"/>
      <c r="H17" s="1670"/>
      <c r="I17" s="1670"/>
    </row>
    <row r="18" spans="1:9" ht="15" customHeight="1" thickBot="1" x14ac:dyDescent="0.25">
      <c r="A18" s="1722"/>
      <c r="B18" s="1671"/>
      <c r="C18" s="85" t="str">
        <f>F!C72</f>
        <v>Several (extensive micro-topography).</v>
      </c>
      <c r="D18" s="84">
        <f>F!D72</f>
        <v>0</v>
      </c>
      <c r="E18" s="188">
        <v>2</v>
      </c>
      <c r="F18" s="216">
        <f>D18*E18</f>
        <v>0</v>
      </c>
      <c r="G18" s="385"/>
      <c r="H18" s="1671"/>
      <c r="I18" s="1671"/>
    </row>
    <row r="19" spans="1:9" ht="30" customHeight="1" thickBot="1" x14ac:dyDescent="0.25">
      <c r="A19" s="1853" t="str">
        <f>F!A105</f>
        <v>F19</v>
      </c>
      <c r="B19" s="1670" t="str">
        <f>F!B105</f>
        <v xml:space="preserve">Dominance of Most Abundant Herbaceous Species </v>
      </c>
      <c r="C19" s="245" t="str">
        <f>F!C105</f>
        <v>Determine which two herbaceous species comprise the greatest portion of the herbaceous cover (excluding mosses and floating-leaved aquatic plants). Then choose one of the following:</v>
      </c>
      <c r="D19" s="390"/>
      <c r="E19" s="38"/>
      <c r="F19" s="189"/>
      <c r="G19" s="332">
        <f>IF((NoHerbCov=1),"",(MAX(F20:F21)))</f>
        <v>0</v>
      </c>
      <c r="H19" s="1696" t="s">
        <v>1875</v>
      </c>
      <c r="I19" s="1669" t="s">
        <v>541</v>
      </c>
    </row>
    <row r="20" spans="1:9" ht="15" customHeight="1" x14ac:dyDescent="0.2">
      <c r="A20" s="1853"/>
      <c r="B20" s="1670"/>
      <c r="C20" s="222" t="str">
        <f>F!C106</f>
        <v>those species together comprise &gt; 50% of the areal cover of herbaceous plants at any time during the year.</v>
      </c>
      <c r="D20" s="33">
        <f>F!D106</f>
        <v>0</v>
      </c>
      <c r="E20" s="34">
        <v>0</v>
      </c>
      <c r="F20" s="214">
        <f>D20*E20</f>
        <v>0</v>
      </c>
      <c r="G20" s="391"/>
      <c r="H20" s="1696"/>
      <c r="I20" s="1670"/>
    </row>
    <row r="21" spans="1:9" ht="27" customHeight="1" thickBot="1" x14ac:dyDescent="0.25">
      <c r="A21" s="1853"/>
      <c r="B21" s="1670"/>
      <c r="C21" s="241" t="str">
        <f>F!C107</f>
        <v>those species together do not comprise &gt; 50% of the areal cover of herbaceous plants at any time during the year.</v>
      </c>
      <c r="D21" s="128">
        <f>F!D107</f>
        <v>0</v>
      </c>
      <c r="E21" s="34">
        <v>1</v>
      </c>
      <c r="F21" s="190">
        <f>D21*E21</f>
        <v>0</v>
      </c>
      <c r="G21" s="391"/>
      <c r="H21" s="1696"/>
      <c r="I21" s="1671"/>
    </row>
    <row r="22" spans="1:9" ht="30" customHeight="1" thickBot="1" x14ac:dyDescent="0.25">
      <c r="A22" s="1713" t="str">
        <f>F!A108</f>
        <v>F20</v>
      </c>
      <c r="B22" s="1693" t="str">
        <f>F!B108</f>
        <v>Invasive Plant Cover</v>
      </c>
      <c r="C22" s="240" t="str">
        <f>F!C108</f>
        <v>How extensive is the cover of invasive plant species in the AA?  For species, see Plants_invasive worksheet in the accompanying SuppInfo file.</v>
      </c>
      <c r="D22" s="390"/>
      <c r="E22" s="390"/>
      <c r="F22" s="393"/>
      <c r="G22" s="318">
        <f>MAX(F23:F27)/MAX(E23:E27)</f>
        <v>0</v>
      </c>
      <c r="H22" s="1693" t="s">
        <v>447</v>
      </c>
      <c r="I22" s="1669" t="s">
        <v>540</v>
      </c>
    </row>
    <row r="23" spans="1:9" ht="15" customHeight="1" x14ac:dyDescent="0.2">
      <c r="A23" s="1714"/>
      <c r="B23" s="1696"/>
      <c r="C23" s="14" t="str">
        <f>F!C109</f>
        <v>invasive species appear to be absent in the AA, or are present only in trace amount (a few individuals).</v>
      </c>
      <c r="D23" s="33">
        <f>F!D109</f>
        <v>0</v>
      </c>
      <c r="E23" s="35">
        <v>4</v>
      </c>
      <c r="F23" s="187">
        <f>D23*E23</f>
        <v>0</v>
      </c>
      <c r="G23" s="383"/>
      <c r="H23" s="1696"/>
      <c r="I23" s="1670"/>
    </row>
    <row r="24" spans="1:9" ht="27" customHeight="1" x14ac:dyDescent="0.2">
      <c r="A24" s="1714"/>
      <c r="B24" s="1696"/>
      <c r="C24" s="4" t="str">
        <f>F!C110</f>
        <v>invasive species are present in more than trace amounts, but comprise &lt;5% of herbaceous cover (or woody cover, if the invasives are woody).</v>
      </c>
      <c r="D24" s="33">
        <f>F!D110</f>
        <v>0</v>
      </c>
      <c r="E24" s="35">
        <v>3</v>
      </c>
      <c r="F24" s="187">
        <f>D24*E24</f>
        <v>0</v>
      </c>
      <c r="G24" s="383"/>
      <c r="H24" s="1696"/>
      <c r="I24" s="1670"/>
    </row>
    <row r="25" spans="1:9" ht="15" customHeight="1" x14ac:dyDescent="0.2">
      <c r="A25" s="1714"/>
      <c r="B25" s="1696"/>
      <c r="C25" s="4" t="str">
        <f>F!C111</f>
        <v>invasive species comprise 5-20% of the herb cover (or woody cover, if the invasives are woody).</v>
      </c>
      <c r="D25" s="33">
        <f>F!D111</f>
        <v>0</v>
      </c>
      <c r="E25" s="35">
        <v>2</v>
      </c>
      <c r="F25" s="187">
        <f>D25*E25</f>
        <v>0</v>
      </c>
      <c r="G25" s="384"/>
      <c r="H25" s="1696"/>
      <c r="I25" s="1670"/>
    </row>
    <row r="26" spans="1:9" ht="15" customHeight="1" x14ac:dyDescent="0.2">
      <c r="A26" s="1714"/>
      <c r="B26" s="1696"/>
      <c r="C26" s="4" t="str">
        <f>F!C112</f>
        <v>invasive species comprise 20-50% of the herb cover  (or woody cover, if the invasives are woody).</v>
      </c>
      <c r="D26" s="33">
        <f>F!D112</f>
        <v>0</v>
      </c>
      <c r="E26" s="35">
        <v>1</v>
      </c>
      <c r="F26" s="187">
        <f>D26*E26</f>
        <v>0</v>
      </c>
      <c r="G26" s="384"/>
      <c r="H26" s="1696"/>
      <c r="I26" s="1670"/>
    </row>
    <row r="27" spans="1:9" ht="15" customHeight="1" thickBot="1" x14ac:dyDescent="0.25">
      <c r="A27" s="1715"/>
      <c r="B27" s="1712"/>
      <c r="C27" s="85" t="str">
        <f>F!C113</f>
        <v>invasive species comprise &gt;50% of the herb cover  (or woody cover, if the invasives are woody).</v>
      </c>
      <c r="D27" s="84">
        <f>F!D113</f>
        <v>0</v>
      </c>
      <c r="E27" s="112">
        <v>0</v>
      </c>
      <c r="F27" s="188">
        <f>D27*E27</f>
        <v>0</v>
      </c>
      <c r="G27" s="385"/>
      <c r="H27" s="1712"/>
      <c r="I27" s="1671"/>
    </row>
    <row r="28" spans="1:9" ht="60" customHeight="1" thickBot="1" x14ac:dyDescent="0.25">
      <c r="A28" s="433" t="str">
        <f>F!A205</f>
        <v>F41</v>
      </c>
      <c r="B28" s="434" t="str">
        <f>F!B205</f>
        <v xml:space="preserve">Floating Algae &amp; Duckweed </v>
      </c>
      <c r="C28" s="182" t="str">
        <f>F!C205</f>
        <v>At some time of the year, mats of algae and/or duckweed are likely to cover &gt;50% of the AA's otherwise-unshaded water surface, or blanket &gt;50% of the underwater substrate. If true, enter "1" in next column. If untrue or uncertain, enter "0".</v>
      </c>
      <c r="D28" s="128">
        <f>F!D205</f>
        <v>0</v>
      </c>
      <c r="E28" s="190"/>
      <c r="F28" s="190"/>
      <c r="G28" s="602" t="str">
        <f>IF((TooSmall=1),"",IF((AllSat1&gt;0),"",IF((NoPonded=1),"",IF((D28=0),"",0))))</f>
        <v/>
      </c>
      <c r="H28" s="120" t="s">
        <v>1186</v>
      </c>
      <c r="I28" s="36" t="s">
        <v>1683</v>
      </c>
    </row>
    <row r="29" spans="1:9" ht="21" customHeight="1" thickBot="1" x14ac:dyDescent="0.25">
      <c r="A29" s="1859"/>
      <c r="B29" s="1859"/>
      <c r="C29" s="1859"/>
      <c r="D29" s="1859"/>
      <c r="E29" s="1859"/>
      <c r="F29" s="1859"/>
      <c r="G29" s="1859"/>
      <c r="H29" s="1859"/>
    </row>
    <row r="30" spans="1:9" s="10" customFormat="1" ht="30" customHeight="1" thickBot="1" x14ac:dyDescent="0.25">
      <c r="A30" s="1841"/>
      <c r="B30" s="1841"/>
      <c r="C30" s="1838" t="s">
        <v>2357</v>
      </c>
      <c r="D30" s="1839"/>
      <c r="E30" s="1840"/>
      <c r="F30" s="1017" t="s">
        <v>2271</v>
      </c>
      <c r="G30" s="1014">
        <f>IFERROR(10*(MAX(RareAll,EmSens1_C) + AVERAGE(HerbDom1,GirregCQ, OverRich,BareGpct))/2,"")</f>
        <v>0</v>
      </c>
      <c r="H30" s="1807" t="s">
        <v>2403</v>
      </c>
      <c r="I30" s="1808"/>
    </row>
    <row r="31" spans="1:9" ht="21" customHeight="1" x14ac:dyDescent="0.2">
      <c r="A31" s="1841"/>
      <c r="B31" s="1841"/>
      <c r="D31" s="1570"/>
      <c r="E31" s="1006"/>
      <c r="F31" s="1006"/>
      <c r="G31" s="1006"/>
      <c r="H31" s="1006"/>
    </row>
    <row r="32" spans="1:9" x14ac:dyDescent="0.2">
      <c r="C32" s="6"/>
    </row>
    <row r="33" spans="3:3" x14ac:dyDescent="0.2">
      <c r="C33" s="6"/>
    </row>
    <row r="34" spans="3:3" x14ac:dyDescent="0.2">
      <c r="C34" s="6"/>
    </row>
    <row r="35" spans="3:3" x14ac:dyDescent="0.2">
      <c r="C35" s="6"/>
    </row>
    <row r="36" spans="3:3" x14ac:dyDescent="0.2">
      <c r="C36" s="6"/>
    </row>
    <row r="37" spans="3:3" x14ac:dyDescent="0.2">
      <c r="C37" s="6"/>
    </row>
    <row r="38" spans="3:3" x14ac:dyDescent="0.2">
      <c r="C38" s="6"/>
    </row>
    <row r="39" spans="3:3" x14ac:dyDescent="0.2">
      <c r="C39" s="6"/>
    </row>
    <row r="40" spans="3:3" x14ac:dyDescent="0.2">
      <c r="C40" s="6"/>
    </row>
    <row r="41" spans="3:3" x14ac:dyDescent="0.2">
      <c r="C41" s="6"/>
    </row>
    <row r="42" spans="3:3" x14ac:dyDescent="0.2">
      <c r="C42" s="6"/>
    </row>
    <row r="43" spans="3:3" x14ac:dyDescent="0.2">
      <c r="C43" s="6"/>
    </row>
    <row r="44" spans="3:3" x14ac:dyDescent="0.2">
      <c r="C44" s="6"/>
    </row>
    <row r="45" spans="3:3" x14ac:dyDescent="0.2">
      <c r="C45" s="6"/>
    </row>
    <row r="46" spans="3:3" x14ac:dyDescent="0.2">
      <c r="C46" s="6"/>
    </row>
    <row r="47" spans="3:3" x14ac:dyDescent="0.2">
      <c r="C47" s="6"/>
    </row>
    <row r="48" spans="3:3" x14ac:dyDescent="0.2">
      <c r="C48" s="6"/>
    </row>
    <row r="49" spans="3:3" x14ac:dyDescent="0.2">
      <c r="C49" s="6"/>
    </row>
    <row r="50" spans="3:3" x14ac:dyDescent="0.2">
      <c r="C50" s="6"/>
    </row>
    <row r="51" spans="3:3" x14ac:dyDescent="0.2">
      <c r="C51" s="6"/>
    </row>
    <row r="52" spans="3:3" x14ac:dyDescent="0.2">
      <c r="C52" s="6"/>
    </row>
    <row r="53" spans="3:3" x14ac:dyDescent="0.2">
      <c r="C53" s="6"/>
    </row>
    <row r="54" spans="3:3" x14ac:dyDescent="0.2">
      <c r="C54" s="6"/>
    </row>
    <row r="55" spans="3:3" x14ac:dyDescent="0.2">
      <c r="C55" s="6"/>
    </row>
    <row r="56" spans="3:3" x14ac:dyDescent="0.2">
      <c r="C56" s="6"/>
    </row>
    <row r="57" spans="3:3" x14ac:dyDescent="0.2">
      <c r="C57" s="6"/>
    </row>
    <row r="58" spans="3:3" x14ac:dyDescent="0.2">
      <c r="C58" s="6"/>
    </row>
    <row r="59" spans="3:3" x14ac:dyDescent="0.2">
      <c r="C59" s="6"/>
    </row>
    <row r="60" spans="3:3" x14ac:dyDescent="0.2">
      <c r="C60" s="6"/>
    </row>
    <row r="61" spans="3:3" x14ac:dyDescent="0.2">
      <c r="C61" s="6"/>
    </row>
    <row r="62" spans="3:3" x14ac:dyDescent="0.2">
      <c r="C62" s="6"/>
    </row>
    <row r="63" spans="3:3" x14ac:dyDescent="0.2">
      <c r="C63" s="6"/>
    </row>
    <row r="64" spans="3:3" x14ac:dyDescent="0.2">
      <c r="C64" s="6"/>
    </row>
    <row r="65" spans="3:3" x14ac:dyDescent="0.2">
      <c r="C65" s="6"/>
    </row>
    <row r="66" spans="3:3" x14ac:dyDescent="0.2">
      <c r="C66" s="6"/>
    </row>
    <row r="67" spans="3:3" x14ac:dyDescent="0.2">
      <c r="C67" s="6"/>
    </row>
    <row r="68" spans="3:3" x14ac:dyDescent="0.2">
      <c r="C68" s="6"/>
    </row>
    <row r="69" spans="3:3" x14ac:dyDescent="0.2">
      <c r="C69" s="6"/>
    </row>
    <row r="70" spans="3:3" x14ac:dyDescent="0.2">
      <c r="C70" s="6"/>
    </row>
    <row r="71" spans="3:3" x14ac:dyDescent="0.2">
      <c r="C71" s="6"/>
    </row>
  </sheetData>
  <sheetProtection algorithmName="SHA-512" hashValue="5zgHFYzsNxmoBX4KgbDyVm0bp6bu4cRAiqLV1TlcrcCFza4s10Hr0TE8BOPhF+dAKE3U56WgiJYQ2CjszB2+wQ==" saltValue="KSJWNVlIWK4MJeZe/hCm2Q==" spinCount="100000" sheet="1" formatCells="0" formatColumns="0" formatRows="0"/>
  <customSheetViews>
    <customSheetView guid="{B8E02330-2419-4DE6-AD01-7ACC7A5D18DD}" scale="75">
      <pageMargins left="0.75" right="0.75" top="1" bottom="1" header="0.5" footer="0.5"/>
      <pageSetup orientation="portrait" horizontalDpi="300" verticalDpi="300" r:id="rId1"/>
      <headerFooter alignWithMargins="0"/>
    </customSheetView>
  </customSheetViews>
  <mergeCells count="26">
    <mergeCell ref="A19:A21"/>
    <mergeCell ref="A15:A18"/>
    <mergeCell ref="A9:A14"/>
    <mergeCell ref="B9:B14"/>
    <mergeCell ref="A1:B1"/>
    <mergeCell ref="B15:B18"/>
    <mergeCell ref="B19:B21"/>
    <mergeCell ref="B3:B8"/>
    <mergeCell ref="A3:A8"/>
    <mergeCell ref="A22:A27"/>
    <mergeCell ref="A29:B31"/>
    <mergeCell ref="C30:E30"/>
    <mergeCell ref="B22:B27"/>
    <mergeCell ref="I22:I27"/>
    <mergeCell ref="H30:I30"/>
    <mergeCell ref="C29:H29"/>
    <mergeCell ref="H22:H27"/>
    <mergeCell ref="E1:I1"/>
    <mergeCell ref="I3:I8"/>
    <mergeCell ref="I9:I14"/>
    <mergeCell ref="I15:I18"/>
    <mergeCell ref="I19:I21"/>
    <mergeCell ref="H19:H21"/>
    <mergeCell ref="H9:H14"/>
    <mergeCell ref="H15:H18"/>
    <mergeCell ref="H3:H8"/>
  </mergeCells>
  <phoneticPr fontId="3" type="noConversion"/>
  <pageMargins left="0.75" right="0.75" top="1" bottom="1" header="0.5" footer="0.5"/>
  <pageSetup orientation="portrait" horizontalDpi="300" verticalDpi="300"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1">
    <tabColor indexed="51"/>
  </sheetPr>
  <dimension ref="A1:L219"/>
  <sheetViews>
    <sheetView topLeftCell="A119" zoomScaleNormal="100" workbookViewId="0">
      <selection activeCell="P139" sqref="P139"/>
    </sheetView>
  </sheetViews>
  <sheetFormatPr defaultColWidth="9.33203125" defaultRowHeight="12.75" x14ac:dyDescent="0.2"/>
  <cols>
    <col min="1" max="1" width="5.83203125" style="1260" customWidth="1"/>
    <col min="2" max="2" width="18.83203125" style="1201" customWidth="1"/>
    <col min="3" max="3" width="75.83203125" style="1170" customWidth="1"/>
    <col min="4" max="6" width="7.83203125" style="1261" customWidth="1"/>
    <col min="7" max="7" width="8.83203125" style="1262" customWidth="1"/>
    <col min="8" max="8" width="64.83203125" style="1260" customWidth="1"/>
    <col min="9" max="9" width="11" style="1170" customWidth="1"/>
    <col min="10" max="16384" width="9.33203125" style="1170"/>
  </cols>
  <sheetData>
    <row r="1" spans="1:9" s="1463" customFormat="1" ht="45" customHeight="1" thickBot="1" x14ac:dyDescent="0.25">
      <c r="A1" s="1868" t="s">
        <v>2344</v>
      </c>
      <c r="B1" s="1869"/>
      <c r="C1" s="1158" t="s">
        <v>1075</v>
      </c>
      <c r="D1" s="1462" t="s">
        <v>1076</v>
      </c>
      <c r="E1" s="2220"/>
      <c r="F1" s="2221"/>
      <c r="G1" s="2221"/>
      <c r="H1" s="2221"/>
      <c r="I1" s="2221"/>
    </row>
    <row r="2" spans="1:9" s="1164" customFormat="1" ht="36" customHeight="1" thickBot="1" x14ac:dyDescent="0.25">
      <c r="A2" s="1159" t="s">
        <v>88</v>
      </c>
      <c r="B2" s="1159" t="s">
        <v>959</v>
      </c>
      <c r="C2" s="1160" t="s">
        <v>1164</v>
      </c>
      <c r="D2" s="1161" t="s">
        <v>45</v>
      </c>
      <c r="E2" s="1162" t="s">
        <v>1188</v>
      </c>
      <c r="F2" s="1163" t="s">
        <v>1189</v>
      </c>
      <c r="G2" s="945" t="s">
        <v>2558</v>
      </c>
      <c r="H2" s="1159" t="s">
        <v>1117</v>
      </c>
      <c r="I2" s="931" t="s">
        <v>2427</v>
      </c>
    </row>
    <row r="3" spans="1:9" ht="30" customHeight="1" thickBot="1" x14ac:dyDescent="0.25">
      <c r="A3" s="2211" t="str">
        <f>OF!A16</f>
        <v>OF3</v>
      </c>
      <c r="B3" s="2211" t="str">
        <f>OF!B16</f>
        <v>Ponded Water &amp; Wetland Within 1 km.</v>
      </c>
      <c r="C3" s="1165" t="str">
        <f>OF!C16</f>
        <v>The area of wetlands and surface water ponded during most of the growing season that is both (1) in or adjacent to the AA and (2) within 1 km is:</v>
      </c>
      <c r="D3" s="1166"/>
      <c r="E3" s="1167"/>
      <c r="F3" s="1168"/>
      <c r="G3" s="1169">
        <f>MAX(F4:F9)/MAX(E4:E9)</f>
        <v>0</v>
      </c>
      <c r="H3" s="2214" t="s">
        <v>1484</v>
      </c>
      <c r="I3" s="2190" t="s">
        <v>1321</v>
      </c>
    </row>
    <row r="4" spans="1:9" ht="15" customHeight="1" x14ac:dyDescent="0.2">
      <c r="A4" s="2212"/>
      <c r="B4" s="2212"/>
      <c r="C4" s="1171" t="str">
        <f>OF!C17</f>
        <v>&lt;0.01 hectare (about 10 m x 10 m).</v>
      </c>
      <c r="D4" s="1172">
        <f>OF!D17</f>
        <v>0</v>
      </c>
      <c r="E4" s="1173">
        <v>5</v>
      </c>
      <c r="F4" s="1174">
        <f t="shared" ref="F4:F9" si="0">D4*E4</f>
        <v>0</v>
      </c>
      <c r="G4" s="1175"/>
      <c r="H4" s="2215"/>
      <c r="I4" s="2191"/>
    </row>
    <row r="5" spans="1:9" ht="15" customHeight="1" x14ac:dyDescent="0.2">
      <c r="A5" s="2212"/>
      <c r="B5" s="2212"/>
      <c r="C5" s="1176" t="str">
        <f>OF!C18</f>
        <v>0.01 - 0.1 hectare.</v>
      </c>
      <c r="D5" s="1172">
        <f>OF!D18</f>
        <v>0</v>
      </c>
      <c r="E5" s="1173">
        <v>4</v>
      </c>
      <c r="F5" s="1174">
        <f t="shared" si="0"/>
        <v>0</v>
      </c>
      <c r="G5" s="1177"/>
      <c r="H5" s="2215"/>
      <c r="I5" s="2191"/>
    </row>
    <row r="6" spans="1:9" ht="15" customHeight="1" x14ac:dyDescent="0.2">
      <c r="A6" s="2212"/>
      <c r="B6" s="2212"/>
      <c r="C6" s="1176" t="str">
        <f>OF!C19</f>
        <v>0.1 - 1 hectare.</v>
      </c>
      <c r="D6" s="1178">
        <f>OF!D19</f>
        <v>0</v>
      </c>
      <c r="E6" s="1173">
        <v>3</v>
      </c>
      <c r="F6" s="1174">
        <f t="shared" si="0"/>
        <v>0</v>
      </c>
      <c r="G6" s="1177"/>
      <c r="H6" s="2215"/>
      <c r="I6" s="2191"/>
    </row>
    <row r="7" spans="1:9" ht="15" customHeight="1" x14ac:dyDescent="0.2">
      <c r="A7" s="2212"/>
      <c r="B7" s="2212"/>
      <c r="C7" s="1176" t="str">
        <f>OF!C20</f>
        <v>1 to 10 hectares.</v>
      </c>
      <c r="D7" s="1179">
        <f>OF!D20</f>
        <v>0</v>
      </c>
      <c r="E7" s="1173">
        <v>3</v>
      </c>
      <c r="F7" s="1174">
        <f t="shared" si="0"/>
        <v>0</v>
      </c>
      <c r="G7" s="1177"/>
      <c r="H7" s="2215"/>
      <c r="I7" s="2191"/>
    </row>
    <row r="8" spans="1:9" ht="15" customHeight="1" x14ac:dyDescent="0.2">
      <c r="A8" s="2212"/>
      <c r="B8" s="2212"/>
      <c r="C8" s="1176" t="str">
        <f>OF!C21</f>
        <v>10 to 100 hectares.</v>
      </c>
      <c r="D8" s="1172">
        <f>OF!D21</f>
        <v>0</v>
      </c>
      <c r="E8" s="1173">
        <v>2</v>
      </c>
      <c r="F8" s="1174">
        <f t="shared" si="0"/>
        <v>0</v>
      </c>
      <c r="G8" s="1177"/>
      <c r="H8" s="2215"/>
      <c r="I8" s="2191"/>
    </row>
    <row r="9" spans="1:9" ht="15" customHeight="1" thickBot="1" x14ac:dyDescent="0.25">
      <c r="A9" s="2212"/>
      <c r="B9" s="2213"/>
      <c r="C9" s="1180" t="str">
        <f>OF!C22</f>
        <v>&gt;100 hectares.</v>
      </c>
      <c r="D9" s="1181">
        <f>OF!D22</f>
        <v>0</v>
      </c>
      <c r="E9" s="1182">
        <v>0</v>
      </c>
      <c r="F9" s="1183">
        <f t="shared" si="0"/>
        <v>0</v>
      </c>
      <c r="G9" s="1184"/>
      <c r="H9" s="2215"/>
      <c r="I9" s="2192"/>
    </row>
    <row r="10" spans="1:9" ht="30" customHeight="1" thickBot="1" x14ac:dyDescent="0.25">
      <c r="A10" s="2217" t="str">
        <f>OF!A23</f>
        <v>OF4</v>
      </c>
      <c r="B10" s="2211" t="str">
        <f>OF!B23</f>
        <v xml:space="preserve">Size of Largest Nearby Vegetated Tract or Corridor </v>
      </c>
      <c r="C10" s="1165" t="str">
        <f>OF!C23</f>
        <v>The largest vegetated patch or corridor that includes the AA's vegetation plus all adjacent upland vegetation that is not lawn, row crops, heavily grazed lands, conifer plantation is:</v>
      </c>
      <c r="D10" s="1167"/>
      <c r="E10" s="1167"/>
      <c r="F10" s="1168"/>
      <c r="G10" s="1169">
        <f>MAX(F11:F17)/MAX(E11:E17)</f>
        <v>0</v>
      </c>
      <c r="H10" s="2214" t="s">
        <v>87</v>
      </c>
      <c r="I10" s="2190" t="s">
        <v>567</v>
      </c>
    </row>
    <row r="11" spans="1:9" ht="15" customHeight="1" x14ac:dyDescent="0.2">
      <c r="A11" s="2218"/>
      <c r="B11" s="2212"/>
      <c r="C11" s="1171" t="str">
        <f>OF!C24</f>
        <v>&lt;0.01 hectare (about 10 m x 10 m).</v>
      </c>
      <c r="D11" s="1185">
        <f>OF!D24</f>
        <v>0</v>
      </c>
      <c r="E11" s="1186">
        <v>10</v>
      </c>
      <c r="F11" s="1174">
        <f t="shared" ref="F11:F17" si="1">D11*E11</f>
        <v>0</v>
      </c>
      <c r="G11" s="1175"/>
      <c r="H11" s="2215"/>
      <c r="I11" s="2191"/>
    </row>
    <row r="12" spans="1:9" ht="15" customHeight="1" x14ac:dyDescent="0.2">
      <c r="A12" s="2218"/>
      <c r="B12" s="2212"/>
      <c r="C12" s="1176" t="str">
        <f>OF!C25</f>
        <v>0.01 - 0.1 hectare.</v>
      </c>
      <c r="D12" s="1172">
        <f>OF!D25</f>
        <v>0</v>
      </c>
      <c r="E12" s="1186">
        <v>8</v>
      </c>
      <c r="F12" s="1174">
        <f t="shared" si="1"/>
        <v>0</v>
      </c>
      <c r="G12" s="1177"/>
      <c r="H12" s="2215"/>
      <c r="I12" s="2191"/>
    </row>
    <row r="13" spans="1:9" ht="15" customHeight="1" x14ac:dyDescent="0.2">
      <c r="A13" s="2218"/>
      <c r="B13" s="2212"/>
      <c r="C13" s="1176" t="str">
        <f>OF!C26</f>
        <v>0.1 - 1 hectare.</v>
      </c>
      <c r="D13" s="1172">
        <f>OF!D26</f>
        <v>0</v>
      </c>
      <c r="E13" s="1186">
        <v>6</v>
      </c>
      <c r="F13" s="1174">
        <f t="shared" si="1"/>
        <v>0</v>
      </c>
      <c r="G13" s="1177"/>
      <c r="H13" s="2215"/>
      <c r="I13" s="2191"/>
    </row>
    <row r="14" spans="1:9" ht="15" customHeight="1" x14ac:dyDescent="0.2">
      <c r="A14" s="2218"/>
      <c r="B14" s="2212"/>
      <c r="C14" s="1176" t="str">
        <f>OF!C27</f>
        <v>1 to 10 hectares.</v>
      </c>
      <c r="D14" s="1172">
        <f>OF!D27</f>
        <v>0</v>
      </c>
      <c r="E14" s="1186">
        <v>4</v>
      </c>
      <c r="F14" s="1174">
        <f t="shared" si="1"/>
        <v>0</v>
      </c>
      <c r="G14" s="1177"/>
      <c r="H14" s="2215"/>
      <c r="I14" s="2191"/>
    </row>
    <row r="15" spans="1:9" ht="15" customHeight="1" x14ac:dyDescent="0.2">
      <c r="A15" s="2218"/>
      <c r="B15" s="2212"/>
      <c r="C15" s="1176" t="str">
        <f>OF!C28</f>
        <v>10 to 100 hectares.</v>
      </c>
      <c r="D15" s="1172">
        <f>OF!D28</f>
        <v>0</v>
      </c>
      <c r="E15" s="1186">
        <v>3</v>
      </c>
      <c r="F15" s="1174">
        <f t="shared" si="1"/>
        <v>0</v>
      </c>
      <c r="G15" s="1177"/>
      <c r="H15" s="2215"/>
      <c r="I15" s="2191"/>
    </row>
    <row r="16" spans="1:9" ht="15" customHeight="1" x14ac:dyDescent="0.2">
      <c r="A16" s="2218"/>
      <c r="B16" s="2212"/>
      <c r="C16" s="1176" t="str">
        <f>OF!C29</f>
        <v>100 to 1000 hectares.</v>
      </c>
      <c r="D16" s="1172">
        <f>OF!D29</f>
        <v>0</v>
      </c>
      <c r="E16" s="1186">
        <v>2</v>
      </c>
      <c r="F16" s="1174">
        <f t="shared" si="1"/>
        <v>0</v>
      </c>
      <c r="G16" s="1177"/>
      <c r="H16" s="2215"/>
      <c r="I16" s="2191"/>
    </row>
    <row r="17" spans="1:9" ht="15" customHeight="1" thickBot="1" x14ac:dyDescent="0.25">
      <c r="A17" s="2219"/>
      <c r="B17" s="2213"/>
      <c r="C17" s="1187" t="str">
        <f>OF!C30</f>
        <v>&gt;1000 hectares. [This is nearly always the answer in relatively undeveloped landscapes.]</v>
      </c>
      <c r="D17" s="1181">
        <f>OF!D30</f>
        <v>0</v>
      </c>
      <c r="E17" s="1188">
        <v>0</v>
      </c>
      <c r="F17" s="1189">
        <f t="shared" si="1"/>
        <v>0</v>
      </c>
      <c r="G17" s="1190"/>
      <c r="H17" s="2216"/>
      <c r="I17" s="2192"/>
    </row>
    <row r="18" spans="1:9" ht="30" customHeight="1" thickBot="1" x14ac:dyDescent="0.25">
      <c r="A18" s="2214" t="str">
        <f>OF!A31</f>
        <v>OF5</v>
      </c>
      <c r="B18" s="2211" t="str">
        <f>OF!B31</f>
        <v>Distance to Large Vegetated Tract</v>
      </c>
      <c r="C18" s="1165" t="str">
        <f>OF!C31</f>
        <v>The minimum distance from the edge of the AA to the edge of the closest vegetated land (but excluding row crops, lawn, conifer plantation) larger than 375 hectares (about 2 km on a side), is:</v>
      </c>
      <c r="D18" s="1166"/>
      <c r="E18" s="1167"/>
      <c r="F18" s="1168"/>
      <c r="G18" s="1169">
        <f>MAX(F19:F25)/MAX(E19:E25)</f>
        <v>0</v>
      </c>
      <c r="H18" s="2214" t="s">
        <v>1483</v>
      </c>
      <c r="I18" s="2190" t="s">
        <v>566</v>
      </c>
    </row>
    <row r="19" spans="1:9" ht="42" customHeight="1" x14ac:dyDescent="0.2">
      <c r="A19" s="2215"/>
      <c r="B19" s="2212"/>
      <c r="C19" s="1191" t="str">
        <f>OF!C32</f>
        <v>&lt;50 m, and not separated from the 375-ha vegetated area by any width of paved roads, stretches of open water, row crops, bare ground, lawn, or impervious surface. Or the AA itself contains &gt;375 ha of vegetation. [This is often the answer in relatively undeveloped landscapes.]</v>
      </c>
      <c r="D19" s="1172">
        <f>OF!D32</f>
        <v>0</v>
      </c>
      <c r="E19" s="1173">
        <v>0</v>
      </c>
      <c r="F19" s="1174">
        <f t="shared" ref="F19:F25" si="2">D19*E19</f>
        <v>0</v>
      </c>
      <c r="G19" s="1175"/>
      <c r="H19" s="2215"/>
      <c r="I19" s="2191"/>
    </row>
    <row r="20" spans="1:9" ht="27" customHeight="1" x14ac:dyDescent="0.2">
      <c r="A20" s="2215"/>
      <c r="B20" s="2212"/>
      <c r="C20" s="1192" t="str">
        <f>OF!C33</f>
        <v>&lt;50 m, but completely separated from the 375-ha vegetated area by those features, and AA does not contain &gt;375 ha of vegetation.</v>
      </c>
      <c r="D20" s="1193">
        <f>OF!D33</f>
        <v>0</v>
      </c>
      <c r="E20" s="1173">
        <v>1</v>
      </c>
      <c r="F20" s="1174">
        <f t="shared" si="2"/>
        <v>0</v>
      </c>
      <c r="G20" s="1177"/>
      <c r="H20" s="2215"/>
      <c r="I20" s="2191"/>
    </row>
    <row r="21" spans="1:9" ht="15" customHeight="1" x14ac:dyDescent="0.2">
      <c r="A21" s="2215"/>
      <c r="B21" s="2212"/>
      <c r="C21" s="1194" t="str">
        <f>OF!C34</f>
        <v>50-500 m, and not separated.</v>
      </c>
      <c r="D21" s="1172">
        <f>OF!D34</f>
        <v>0</v>
      </c>
      <c r="E21" s="1173">
        <v>2</v>
      </c>
      <c r="F21" s="1174">
        <f t="shared" si="2"/>
        <v>0</v>
      </c>
      <c r="G21" s="1177"/>
      <c r="H21" s="2215"/>
      <c r="I21" s="2191"/>
    </row>
    <row r="22" spans="1:9" ht="15" customHeight="1" x14ac:dyDescent="0.2">
      <c r="A22" s="2215"/>
      <c r="B22" s="2212"/>
      <c r="C22" s="1192" t="str">
        <f>OF!C35</f>
        <v>50-500 m, but separated by those features.</v>
      </c>
      <c r="D22" s="1172">
        <f>OF!D35</f>
        <v>0</v>
      </c>
      <c r="E22" s="1173">
        <v>3</v>
      </c>
      <c r="F22" s="1174">
        <f t="shared" si="2"/>
        <v>0</v>
      </c>
      <c r="G22" s="1177"/>
      <c r="H22" s="2215"/>
      <c r="I22" s="2191"/>
    </row>
    <row r="23" spans="1:9" ht="15" customHeight="1" x14ac:dyDescent="0.2">
      <c r="A23" s="2215"/>
      <c r="B23" s="2212"/>
      <c r="C23" s="1194" t="str">
        <f>OF!C36</f>
        <v>0.5 - 5 km, and not separated.</v>
      </c>
      <c r="D23" s="1172">
        <f>OF!D36</f>
        <v>0</v>
      </c>
      <c r="E23" s="1173">
        <v>4</v>
      </c>
      <c r="F23" s="1174">
        <f t="shared" si="2"/>
        <v>0</v>
      </c>
      <c r="G23" s="1177"/>
      <c r="H23" s="2215"/>
      <c r="I23" s="2191"/>
    </row>
    <row r="24" spans="1:9" ht="15" customHeight="1" x14ac:dyDescent="0.2">
      <c r="A24" s="2215"/>
      <c r="B24" s="2212"/>
      <c r="C24" s="1194" t="str">
        <f>OF!C37</f>
        <v>0.5 - 5 km, but separated by those features.</v>
      </c>
      <c r="D24" s="1172">
        <f>OF!D37</f>
        <v>0</v>
      </c>
      <c r="E24" s="1173">
        <v>5</v>
      </c>
      <c r="F24" s="1174">
        <f t="shared" si="2"/>
        <v>0</v>
      </c>
      <c r="G24" s="1177"/>
      <c r="H24" s="2215"/>
      <c r="I24" s="2191"/>
    </row>
    <row r="25" spans="1:9" ht="15" customHeight="1" thickBot="1" x14ac:dyDescent="0.25">
      <c r="A25" s="2216"/>
      <c r="B25" s="2213"/>
      <c r="C25" s="1195" t="str">
        <f>OF!C38</f>
        <v>None of the above (the closest patches or corridors which are that large are &gt;5 km away).</v>
      </c>
      <c r="D25" s="1181">
        <f>OF!D38</f>
        <v>0</v>
      </c>
      <c r="E25" s="1196">
        <v>6</v>
      </c>
      <c r="F25" s="1189">
        <f t="shared" si="2"/>
        <v>0</v>
      </c>
      <c r="G25" s="1190"/>
      <c r="H25" s="2216"/>
      <c r="I25" s="2192"/>
    </row>
    <row r="26" spans="1:9" ht="45" customHeight="1" thickBot="1" x14ac:dyDescent="0.25">
      <c r="A26" s="2214" t="str">
        <f>OF!A41</f>
        <v>OF8</v>
      </c>
      <c r="B26" s="2214" t="str">
        <f>OF!B41</f>
        <v>Local Vegetated Cover Percentage</v>
      </c>
      <c r="C26" s="1197" t="str">
        <f>OF!C41</f>
        <v>Draw a 5-km radius circle measured from the center of the AA.  Ignoring all permanent water in the circle, the percent of the remaining area that is wooded or unmanaged herbaceous vegetation (NOT lawn, row crops, bare or heavily grazed land, clearcuts, or conifer plantations) is:</v>
      </c>
      <c r="D26" s="1198"/>
      <c r="E26" s="1199"/>
      <c r="F26" s="1200"/>
      <c r="G26" s="1169">
        <f>MAX(F27:F31)/MAX(E27:E31)</f>
        <v>0</v>
      </c>
      <c r="H26" s="2214"/>
      <c r="I26" s="2190" t="s">
        <v>1320</v>
      </c>
    </row>
    <row r="27" spans="1:9" ht="15" customHeight="1" x14ac:dyDescent="0.2">
      <c r="A27" s="2215"/>
      <c r="B27" s="2215"/>
      <c r="C27" s="1201" t="str">
        <f>OF!C42</f>
        <v xml:space="preserve">&lt;5% of the land. </v>
      </c>
      <c r="D27" s="1172">
        <f>OF!D42</f>
        <v>0</v>
      </c>
      <c r="E27" s="1186">
        <v>5</v>
      </c>
      <c r="F27" s="1174">
        <f>D27*E27</f>
        <v>0</v>
      </c>
      <c r="G27" s="1177"/>
      <c r="H27" s="2215"/>
      <c r="I27" s="2191"/>
    </row>
    <row r="28" spans="1:9" ht="15" customHeight="1" x14ac:dyDescent="0.2">
      <c r="A28" s="2215"/>
      <c r="B28" s="2215"/>
      <c r="C28" s="1202" t="str">
        <f>OF!C43</f>
        <v>5 to 20% of the land.</v>
      </c>
      <c r="D28" s="1172">
        <f>OF!D43</f>
        <v>0</v>
      </c>
      <c r="E28" s="1186">
        <v>4</v>
      </c>
      <c r="F28" s="1174">
        <f>D28*E28</f>
        <v>0</v>
      </c>
      <c r="G28" s="1177"/>
      <c r="H28" s="2215"/>
      <c r="I28" s="2191"/>
    </row>
    <row r="29" spans="1:9" ht="15" customHeight="1" x14ac:dyDescent="0.2">
      <c r="A29" s="2215"/>
      <c r="B29" s="2215"/>
      <c r="C29" s="1194" t="str">
        <f>OF!C44</f>
        <v>20 to 60% of the land.</v>
      </c>
      <c r="D29" s="1172">
        <f>OF!D44</f>
        <v>0</v>
      </c>
      <c r="E29" s="1186">
        <v>3</v>
      </c>
      <c r="F29" s="1174">
        <f>D29*E29</f>
        <v>0</v>
      </c>
      <c r="G29" s="1177"/>
      <c r="H29" s="2215"/>
      <c r="I29" s="2191"/>
    </row>
    <row r="30" spans="1:9" ht="15" customHeight="1" x14ac:dyDescent="0.2">
      <c r="A30" s="2215"/>
      <c r="B30" s="2215"/>
      <c r="C30" s="1194" t="str">
        <f>OF!C45</f>
        <v>60 to 90% of the land.</v>
      </c>
      <c r="D30" s="1172">
        <f>OF!D45</f>
        <v>0</v>
      </c>
      <c r="E30" s="1186">
        <v>2</v>
      </c>
      <c r="F30" s="1174">
        <f>D30*E30</f>
        <v>0</v>
      </c>
      <c r="G30" s="1177"/>
      <c r="H30" s="2215"/>
      <c r="I30" s="2191"/>
    </row>
    <row r="31" spans="1:9" ht="15" customHeight="1" thickBot="1" x14ac:dyDescent="0.25">
      <c r="A31" s="2215"/>
      <c r="B31" s="2215"/>
      <c r="C31" s="1201" t="str">
        <f>OF!C46</f>
        <v>&gt;90% of the land. SKIP to OF10.</v>
      </c>
      <c r="D31" s="1179">
        <f>OF!D46</f>
        <v>0</v>
      </c>
      <c r="E31" s="1203">
        <v>0</v>
      </c>
      <c r="F31" s="1183">
        <f>D31*E31</f>
        <v>0</v>
      </c>
      <c r="G31" s="1184"/>
      <c r="H31" s="2216"/>
      <c r="I31" s="2192"/>
    </row>
    <row r="32" spans="1:9" ht="30" customHeight="1" thickBot="1" x14ac:dyDescent="0.25">
      <c r="A32" s="2228" t="str">
        <f>OF!A64</f>
        <v>OF13</v>
      </c>
      <c r="B32" s="2214" t="str">
        <f>OF!B64</f>
        <v>Distance to Ponded Water</v>
      </c>
      <c r="C32" s="1165" t="str">
        <f>OF!C64</f>
        <v>The distance from the AA center to the closest (but separate) ponded water body visible in GoogleEarth imagery is:</v>
      </c>
      <c r="D32" s="1167"/>
      <c r="E32" s="1167"/>
      <c r="F32" s="1168"/>
      <c r="G32" s="1169">
        <f>MAX(F33:F40)/MAX(E33:E40)</f>
        <v>0</v>
      </c>
      <c r="H32" s="2214" t="s">
        <v>87</v>
      </c>
      <c r="I32" s="2190" t="s">
        <v>568</v>
      </c>
    </row>
    <row r="33" spans="1:9" ht="27" customHeight="1" x14ac:dyDescent="0.2">
      <c r="A33" s="2229"/>
      <c r="B33" s="2215"/>
      <c r="C33" s="1191" t="str">
        <f>OF!C65</f>
        <v xml:space="preserve">&lt;50 m, and not separated by any width of paved roads, stretches of open water, row crops, lawn, bare ground, or impervious surface. </v>
      </c>
      <c r="D33" s="1204">
        <f>OF!D65</f>
        <v>0</v>
      </c>
      <c r="E33" s="1186">
        <v>0</v>
      </c>
      <c r="F33" s="1174">
        <f t="shared" ref="F33:F40" si="3">D33*E33</f>
        <v>0</v>
      </c>
      <c r="G33" s="1175"/>
      <c r="H33" s="2215"/>
      <c r="I33" s="2191"/>
    </row>
    <row r="34" spans="1:9" ht="15" customHeight="1" x14ac:dyDescent="0.2">
      <c r="A34" s="2229"/>
      <c r="B34" s="2215"/>
      <c r="C34" s="1205" t="str">
        <f>OF!C66</f>
        <v>&lt;50 m, but completely separated by those features.</v>
      </c>
      <c r="D34" s="1206">
        <f>OF!D66</f>
        <v>0</v>
      </c>
      <c r="E34" s="1186">
        <v>1</v>
      </c>
      <c r="F34" s="1174">
        <f t="shared" si="3"/>
        <v>0</v>
      </c>
      <c r="G34" s="1177"/>
      <c r="H34" s="2215"/>
      <c r="I34" s="2191"/>
    </row>
    <row r="35" spans="1:9" ht="15" customHeight="1" x14ac:dyDescent="0.2">
      <c r="A35" s="2229"/>
      <c r="B35" s="2215"/>
      <c r="C35" s="1205" t="str">
        <f>OF!C67</f>
        <v>50-500 m, and not separated.</v>
      </c>
      <c r="D35" s="1206">
        <f>OF!D67</f>
        <v>0</v>
      </c>
      <c r="E35" s="1186">
        <v>2</v>
      </c>
      <c r="F35" s="1174">
        <f t="shared" si="3"/>
        <v>0</v>
      </c>
      <c r="G35" s="1177"/>
      <c r="H35" s="2215"/>
      <c r="I35" s="2191"/>
    </row>
    <row r="36" spans="1:9" ht="15" customHeight="1" x14ac:dyDescent="0.2">
      <c r="A36" s="2229"/>
      <c r="B36" s="2215"/>
      <c r="C36" s="1205" t="str">
        <f>OF!C68</f>
        <v>50-500 m, but separated by those features.</v>
      </c>
      <c r="D36" s="1206">
        <f>OF!D68</f>
        <v>0</v>
      </c>
      <c r="E36" s="1186">
        <v>3</v>
      </c>
      <c r="F36" s="1174">
        <f t="shared" si="3"/>
        <v>0</v>
      </c>
      <c r="G36" s="1177"/>
      <c r="H36" s="2215"/>
      <c r="I36" s="2191"/>
    </row>
    <row r="37" spans="1:9" ht="15" customHeight="1" x14ac:dyDescent="0.2">
      <c r="A37" s="2229"/>
      <c r="B37" s="2215"/>
      <c r="C37" s="1205" t="str">
        <f>OF!C69</f>
        <v>0.5 - 1 km, and not separated.</v>
      </c>
      <c r="D37" s="1206">
        <f>OF!D69</f>
        <v>0</v>
      </c>
      <c r="E37" s="1186">
        <v>4</v>
      </c>
      <c r="F37" s="1174">
        <f t="shared" si="3"/>
        <v>0</v>
      </c>
      <c r="G37" s="1177"/>
      <c r="H37" s="2215"/>
      <c r="I37" s="2191"/>
    </row>
    <row r="38" spans="1:9" ht="15" customHeight="1" x14ac:dyDescent="0.2">
      <c r="A38" s="2229"/>
      <c r="B38" s="2215"/>
      <c r="C38" s="1205" t="str">
        <f>OF!C70</f>
        <v>0.5 - 1 km, but separated by those features.</v>
      </c>
      <c r="D38" s="1206">
        <f>OF!D70</f>
        <v>0</v>
      </c>
      <c r="E38" s="35">
        <v>5</v>
      </c>
      <c r="F38" s="1174">
        <f t="shared" si="3"/>
        <v>0</v>
      </c>
      <c r="G38" s="1177"/>
      <c r="H38" s="2215"/>
      <c r="I38" s="2191"/>
    </row>
    <row r="39" spans="1:9" ht="15" customHeight="1" x14ac:dyDescent="0.2">
      <c r="A39" s="2229"/>
      <c r="B39" s="2215"/>
      <c r="C39" s="1205" t="str">
        <f>OF!C71</f>
        <v>None of the above (the closest patches or corridors that large are &gt;1 km away).</v>
      </c>
      <c r="D39" s="1206">
        <f>OF!D71</f>
        <v>0</v>
      </c>
      <c r="E39" s="1182">
        <v>6</v>
      </c>
      <c r="F39" s="1183">
        <f t="shared" si="3"/>
        <v>0</v>
      </c>
      <c r="G39" s="1184"/>
      <c r="H39" s="2215"/>
      <c r="I39" s="2191"/>
    </row>
    <row r="40" spans="1:9" ht="30.75" customHeight="1" thickBot="1" x14ac:dyDescent="0.25">
      <c r="A40" s="2230"/>
      <c r="B40" s="2216"/>
      <c r="C40" s="1205" t="str">
        <f>OF!C72</f>
        <v>The distance from the AA center to the closest (but separate) non-tidal body of water that is ponded during most of the year and is larger than 8 hectares during most of a normal year is:</v>
      </c>
      <c r="D40" s="1206">
        <f>OF!D72</f>
        <v>0</v>
      </c>
      <c r="E40" s="1207">
        <v>7</v>
      </c>
      <c r="F40" s="1189">
        <f t="shared" si="3"/>
        <v>0</v>
      </c>
      <c r="G40" s="1190"/>
      <c r="H40" s="2216"/>
      <c r="I40" s="2192"/>
    </row>
    <row r="41" spans="1:9" ht="30" customHeight="1" thickBot="1" x14ac:dyDescent="0.25">
      <c r="A41" s="2225" t="str">
        <f>OF!A72</f>
        <v>OF14</v>
      </c>
      <c r="B41" s="2211" t="str">
        <f>OF!B72</f>
        <v>Distance to Large Ponded Water</v>
      </c>
      <c r="C41" s="1165" t="str">
        <f>OF!C72</f>
        <v>The distance from the AA center to the closest (but separate) non-tidal body of water that is ponded during most of the year and is larger than 8 hectares during most of a normal year is:</v>
      </c>
      <c r="D41" s="1167"/>
      <c r="E41" s="1167"/>
      <c r="F41" s="1168"/>
      <c r="G41" s="1169">
        <f>MAX(F42:F47)/MAX(E42:E47)</f>
        <v>0</v>
      </c>
      <c r="H41" s="2214" t="s">
        <v>1109</v>
      </c>
      <c r="I41" s="2190" t="s">
        <v>569</v>
      </c>
    </row>
    <row r="42" spans="1:9" ht="15" customHeight="1" x14ac:dyDescent="0.2">
      <c r="A42" s="2218"/>
      <c r="B42" s="2212"/>
      <c r="C42" s="1171" t="str">
        <f>OF!C73</f>
        <v>&lt;100 m.</v>
      </c>
      <c r="D42" s="1185">
        <f>OF!D73</f>
        <v>0</v>
      </c>
      <c r="E42" s="1186">
        <v>0</v>
      </c>
      <c r="F42" s="1174">
        <f t="shared" ref="F42:F47" si="4">D42*E42</f>
        <v>0</v>
      </c>
      <c r="G42" s="1175"/>
      <c r="H42" s="2215"/>
      <c r="I42" s="2191"/>
    </row>
    <row r="43" spans="1:9" ht="15" customHeight="1" x14ac:dyDescent="0.2">
      <c r="A43" s="2218"/>
      <c r="B43" s="2212"/>
      <c r="C43" s="1171" t="str">
        <f>OF!C74</f>
        <v>100 m - 1 km.</v>
      </c>
      <c r="D43" s="1185">
        <f>OF!D74</f>
        <v>0</v>
      </c>
      <c r="E43" s="1186">
        <v>1</v>
      </c>
      <c r="F43" s="1174">
        <f t="shared" si="4"/>
        <v>0</v>
      </c>
      <c r="G43" s="1177"/>
      <c r="H43" s="2215"/>
      <c r="I43" s="2191"/>
    </row>
    <row r="44" spans="1:9" ht="15" customHeight="1" x14ac:dyDescent="0.2">
      <c r="A44" s="2218"/>
      <c r="B44" s="2212"/>
      <c r="C44" s="1171" t="str">
        <f>OF!C75</f>
        <v>1 -2 km.</v>
      </c>
      <c r="D44" s="1185">
        <f>OF!D75</f>
        <v>0</v>
      </c>
      <c r="E44" s="1203">
        <v>2</v>
      </c>
      <c r="F44" s="1183">
        <f t="shared" si="4"/>
        <v>0</v>
      </c>
      <c r="G44" s="1184"/>
      <c r="H44" s="2215"/>
      <c r="I44" s="2191"/>
    </row>
    <row r="45" spans="1:9" ht="15" customHeight="1" x14ac:dyDescent="0.2">
      <c r="A45" s="2218"/>
      <c r="B45" s="2212"/>
      <c r="C45" s="1171" t="str">
        <f>OF!C76</f>
        <v>2-5 km.</v>
      </c>
      <c r="D45" s="1185">
        <f>OF!D76</f>
        <v>0</v>
      </c>
      <c r="E45" s="1203">
        <v>3</v>
      </c>
      <c r="F45" s="1183">
        <f t="shared" si="4"/>
        <v>0</v>
      </c>
      <c r="G45" s="1184"/>
      <c r="H45" s="2215"/>
      <c r="I45" s="2191"/>
    </row>
    <row r="46" spans="1:9" ht="15" customHeight="1" x14ac:dyDescent="0.2">
      <c r="A46" s="2218"/>
      <c r="B46" s="2212"/>
      <c r="C46" s="1171" t="str">
        <f>OF!C77</f>
        <v>5-10 km.</v>
      </c>
      <c r="D46" s="1185">
        <f>OF!D77</f>
        <v>0</v>
      </c>
      <c r="E46" s="1203">
        <v>4</v>
      </c>
      <c r="F46" s="1183">
        <f t="shared" si="4"/>
        <v>0</v>
      </c>
      <c r="G46" s="1184"/>
      <c r="H46" s="2215"/>
      <c r="I46" s="2191"/>
    </row>
    <row r="47" spans="1:9" ht="15" customHeight="1" thickBot="1" x14ac:dyDescent="0.25">
      <c r="A47" s="2219"/>
      <c r="B47" s="2213"/>
      <c r="C47" s="1171" t="str">
        <f>OF!C78</f>
        <v>&gt;10 km.</v>
      </c>
      <c r="D47" s="1185">
        <f>OF!D78</f>
        <v>0</v>
      </c>
      <c r="E47" s="1188">
        <v>6</v>
      </c>
      <c r="F47" s="1189">
        <f t="shared" si="4"/>
        <v>0</v>
      </c>
      <c r="G47" s="1190"/>
      <c r="H47" s="2216"/>
      <c r="I47" s="2192"/>
    </row>
    <row r="48" spans="1:9" ht="21" customHeight="1" thickBot="1" x14ac:dyDescent="0.25">
      <c r="A48" s="2217" t="str">
        <f>OF!A86</f>
        <v>OF16</v>
      </c>
      <c r="B48" s="2214" t="str">
        <f>OF!B86</f>
        <v>Upland Edge Contact</v>
      </c>
      <c r="C48" s="1208" t="str">
        <f>OF!C86</f>
        <v>Select one:</v>
      </c>
      <c r="D48" s="1167"/>
      <c r="E48" s="1199"/>
      <c r="F48" s="1168"/>
      <c r="G48" s="1169">
        <f>MAX(F49:F53)/MAX(E49:E53)</f>
        <v>0</v>
      </c>
      <c r="H48" s="2214" t="s">
        <v>549</v>
      </c>
      <c r="I48" s="2190" t="s">
        <v>570</v>
      </c>
    </row>
    <row r="49" spans="1:9" ht="27" customHeight="1" x14ac:dyDescent="0.2">
      <c r="A49" s="2218"/>
      <c r="B49" s="2215"/>
      <c r="C49" s="1209" t="str">
        <f>OF!C87</f>
        <v>The AA has no upland edge (or upland is &lt;1% of perimeter). The AA is entirely surrounded by (&amp; contiguous with) other wetlands or water.</v>
      </c>
      <c r="D49" s="1185">
        <f>OF!D87</f>
        <v>0</v>
      </c>
      <c r="E49" s="1210">
        <v>0</v>
      </c>
      <c r="F49" s="1174">
        <f>D49*E49</f>
        <v>0</v>
      </c>
      <c r="G49" s="1175"/>
      <c r="H49" s="2215"/>
      <c r="I49" s="2191"/>
    </row>
    <row r="50" spans="1:9" ht="27" customHeight="1" x14ac:dyDescent="0.2">
      <c r="A50" s="2218"/>
      <c r="B50" s="2215"/>
      <c r="C50" s="1209" t="str">
        <f>OF!C88</f>
        <v>1-25% of the AA's perimeter abuts upland (including filled areas). The rest adjoins other wetlands or water that is mostly wider than the AA.</v>
      </c>
      <c r="D50" s="1185">
        <f>OF!D88</f>
        <v>0</v>
      </c>
      <c r="E50" s="1210">
        <v>1</v>
      </c>
      <c r="F50" s="1174">
        <f>D50*E50</f>
        <v>0</v>
      </c>
      <c r="G50" s="1175"/>
      <c r="H50" s="2215"/>
      <c r="I50" s="2191"/>
    </row>
    <row r="51" spans="1:9" ht="27" customHeight="1" x14ac:dyDescent="0.2">
      <c r="A51" s="2218"/>
      <c r="B51" s="2215"/>
      <c r="C51" s="1209" t="str">
        <f>OF!C89</f>
        <v>25-50% of the AA's perimeter abuts upland. The rest adjoins other wetlands or water that is mostly wider than the AA.</v>
      </c>
      <c r="D51" s="1185">
        <f>OF!D89</f>
        <v>0</v>
      </c>
      <c r="E51" s="1210">
        <v>2</v>
      </c>
      <c r="F51" s="1174">
        <f>D51*E51</f>
        <v>0</v>
      </c>
      <c r="G51" s="1175"/>
      <c r="H51" s="2215"/>
      <c r="I51" s="2191"/>
    </row>
    <row r="52" spans="1:9" ht="27" customHeight="1" x14ac:dyDescent="0.2">
      <c r="A52" s="2218"/>
      <c r="B52" s="2215"/>
      <c r="C52" s="1209" t="str">
        <f>OF!C90</f>
        <v>50-75% of the AA's perimeter abuts upland. The rest adjoins other wetlands or water that is mostly wider than the AA.</v>
      </c>
      <c r="D52" s="1185">
        <f>OF!D90</f>
        <v>0</v>
      </c>
      <c r="E52" s="1210">
        <v>3</v>
      </c>
      <c r="F52" s="1174">
        <f>D52*E52</f>
        <v>0</v>
      </c>
      <c r="G52" s="1177"/>
      <c r="H52" s="2215"/>
      <c r="I52" s="2191"/>
    </row>
    <row r="53" spans="1:9" ht="41.25" customHeight="1" thickBot="1" x14ac:dyDescent="0.25">
      <c r="A53" s="2219"/>
      <c r="B53" s="2216"/>
      <c r="C53" s="1209" t="str">
        <f>OF!C91</f>
        <v>More than 75% of the AA's perimeter abuts upland. Any remainder adjoins other wetlands or water that is mostly wider than the AA.  This will be true for most assessments done with WESP-AC.</v>
      </c>
      <c r="D53" s="1185">
        <f>OF!D91</f>
        <v>0</v>
      </c>
      <c r="E53" s="1211">
        <v>4</v>
      </c>
      <c r="F53" s="1189">
        <f>D53*E53</f>
        <v>0</v>
      </c>
      <c r="G53" s="1190"/>
      <c r="H53" s="2216"/>
      <c r="I53" s="2192"/>
    </row>
    <row r="54" spans="1:9" ht="60" customHeight="1" thickBot="1" x14ac:dyDescent="0.25">
      <c r="A54" s="1311" t="str">
        <f>OF!A97</f>
        <v>OF18</v>
      </c>
      <c r="B54" s="1197" t="str">
        <f>OF!B97</f>
        <v>Relative Elevation in Watershed</v>
      </c>
      <c r="C54" s="1311" t="str">
        <f>OF!C97</f>
        <v>In Google Earth, enable the Terrain layer (lower left menu) and open the NB_Watersheds KMZ file that accompanies this calculator. Then determine the AA's approximate elevation (bottom right, NOT the "eye alt").  Then move cursor around to determine the watershed's maximum and minimum elevation.  Divide the AA's elevation by the (max-min).</v>
      </c>
      <c r="D54" s="1312"/>
      <c r="E54" s="1312"/>
      <c r="F54" s="1313"/>
      <c r="G54" s="1212">
        <f>ShedPos</f>
        <v>0</v>
      </c>
      <c r="H54" s="1239" t="s">
        <v>1325</v>
      </c>
      <c r="I54" s="1314" t="s">
        <v>1324</v>
      </c>
    </row>
    <row r="55" spans="1:9" ht="90.75" customHeight="1" thickBot="1" x14ac:dyDescent="0.25">
      <c r="A55" s="2212" t="str">
        <f>OF!A109</f>
        <v>OF22</v>
      </c>
      <c r="B55" s="2223" t="str">
        <f>OF!B109</f>
        <v>Wetland as a % of Its Contributing Area (Catchment)</v>
      </c>
      <c r="C55" s="1197" t="str">
        <f>OF!C109</f>
        <v>From a topographic map and field observations, estimate the approximate boundaries of the catchment (CA) of the entire wetland of which the AA may be only a part. Then adjust those boundaries if necessary based on your field observations of the surrounding terrain, and/or by using procedures described in the Manual.  Divide the area of the wetland (not just the AA) by the approximate area of its catchment excluding the area of the wetland itself.  When doing the calculation, if ponded water is adjacent to the wetland, include that in the wetland's area.  The result is:</v>
      </c>
      <c r="D55" s="1227"/>
      <c r="E55" s="1216"/>
      <c r="F55" s="1217"/>
      <c r="G55" s="1218">
        <f>MAX(F56:F59)/MAX(E56:E59)</f>
        <v>0</v>
      </c>
      <c r="H55" s="2215" t="s">
        <v>1005</v>
      </c>
      <c r="I55" s="2191" t="s">
        <v>284</v>
      </c>
    </row>
    <row r="56" spans="1:9" ht="15" customHeight="1" x14ac:dyDescent="0.2">
      <c r="A56" s="2212"/>
      <c r="B56" s="2223"/>
      <c r="C56" s="1191" t="str">
        <f>OF!C110</f>
        <v>&lt;0.01, or catchment size unknown due to stormwater pipes that collect water from an indeterminate area.</v>
      </c>
      <c r="D56" s="1204">
        <f>OF!D110</f>
        <v>0</v>
      </c>
      <c r="E56" s="1186">
        <v>0</v>
      </c>
      <c r="F56" s="1174">
        <f>D56*E56</f>
        <v>0</v>
      </c>
      <c r="G56" s="1175"/>
      <c r="H56" s="2215"/>
      <c r="I56" s="2191"/>
    </row>
    <row r="57" spans="1:9" ht="15" customHeight="1" x14ac:dyDescent="0.2">
      <c r="A57" s="2212"/>
      <c r="B57" s="2223"/>
      <c r="C57" s="1194" t="str">
        <f>OF!C111</f>
        <v>0.01 to 0.1.</v>
      </c>
      <c r="D57" s="1206">
        <f>OF!D111</f>
        <v>0</v>
      </c>
      <c r="E57" s="1186">
        <v>1</v>
      </c>
      <c r="F57" s="1174">
        <f>D57*E57</f>
        <v>0</v>
      </c>
      <c r="G57" s="1177"/>
      <c r="H57" s="2215"/>
      <c r="I57" s="2191"/>
    </row>
    <row r="58" spans="1:9" ht="15" customHeight="1" x14ac:dyDescent="0.2">
      <c r="A58" s="2212"/>
      <c r="B58" s="2223"/>
      <c r="C58" s="1194" t="str">
        <f>OF!C112</f>
        <v>0.1 to 1.</v>
      </c>
      <c r="D58" s="1206">
        <f>OF!D112</f>
        <v>0</v>
      </c>
      <c r="E58" s="1186">
        <v>2</v>
      </c>
      <c r="F58" s="1174">
        <f>D58*E58</f>
        <v>0</v>
      </c>
      <c r="G58" s="1177"/>
      <c r="H58" s="2215"/>
      <c r="I58" s="2191"/>
    </row>
    <row r="59" spans="1:9" ht="27" customHeight="1" thickBot="1" x14ac:dyDescent="0.25">
      <c r="A59" s="2212"/>
      <c r="B59" s="2223"/>
      <c r="C59" s="1195" t="str">
        <f>OF!C113</f>
        <v xml:space="preserve">&gt;1 (wetland is larger than its catchment (e.g., wetland with flat surrounding terrain and no inlet, or is entirely isolated by dikes, or is a raised bog). </v>
      </c>
      <c r="D59" s="1245">
        <f>OF!D113</f>
        <v>0</v>
      </c>
      <c r="E59" s="1203">
        <v>3</v>
      </c>
      <c r="F59" s="1183">
        <f>D59*E59</f>
        <v>0</v>
      </c>
      <c r="G59" s="1184"/>
      <c r="H59" s="2215"/>
      <c r="I59" s="2192"/>
    </row>
    <row r="60" spans="1:9" ht="45" customHeight="1" thickBot="1" x14ac:dyDescent="0.25">
      <c r="A60" s="1239" t="str">
        <f>OF!A133</f>
        <v>OF27</v>
      </c>
      <c r="B60" s="1322" t="str">
        <f>OF!B133</f>
        <v>Growing Degree Days</v>
      </c>
      <c r="C60" s="1322" t="str">
        <f>OF!C133</f>
        <v>In Google Earth, open the KMZ file that accompanies this calculator, called NB-PEI_GrowingDegreeDays. Place your cursor over the AA and left-click. From the pop-up, enter the GRIDCODE in the next column.</v>
      </c>
      <c r="D60" s="1473">
        <f>OF!D133</f>
        <v>0</v>
      </c>
      <c r="E60" s="1312"/>
      <c r="F60" s="1323"/>
      <c r="G60" s="1212" t="str">
        <f>IF((GrowD&lt;1),"",1-((GrowD-1305)/1328))</f>
        <v/>
      </c>
      <c r="H60" s="1239" t="s">
        <v>969</v>
      </c>
      <c r="I60" s="1220" t="s">
        <v>283</v>
      </c>
    </row>
    <row r="61" spans="1:9" ht="30" customHeight="1" thickBot="1" x14ac:dyDescent="0.25">
      <c r="A61" s="2215" t="str">
        <f>OF!A139</f>
        <v>OF29</v>
      </c>
      <c r="B61" s="2218" t="str">
        <f>OF!B139</f>
        <v>Species of Conservation Concern</v>
      </c>
      <c r="C61" s="1197" t="str">
        <f>OF!C139</f>
        <v>Within the past 10 years, in the AA (or in its adjoining waters or wetland), qualified observers have documented [mark all applicable]:</v>
      </c>
      <c r="D61" s="1549"/>
      <c r="E61" s="1198"/>
      <c r="F61" s="1550"/>
      <c r="G61" s="1551">
        <f>IF((D66=1),"",MAX(F62:F65)/MAX(E62:E65))</f>
        <v>0</v>
      </c>
      <c r="H61" s="2215" t="s">
        <v>608</v>
      </c>
      <c r="I61" s="2190" t="s">
        <v>1322</v>
      </c>
    </row>
    <row r="62" spans="1:9" ht="31.5" customHeight="1" x14ac:dyDescent="0.2">
      <c r="A62" s="2215"/>
      <c r="B62" s="2218"/>
      <c r="C62" s="1191" t="str">
        <f>OF!C140</f>
        <v xml:space="preserve">Presence of one or more of the plant species listed in the Plants_Rare worksheet of the accompanying SuppInfo file, or the AA is within a mapped Atlantic Coastal Plain Flora Buffer </v>
      </c>
      <c r="D62" s="1206">
        <f>OF!D140</f>
        <v>0</v>
      </c>
      <c r="E62" s="1173">
        <v>1</v>
      </c>
      <c r="F62" s="1174">
        <f>D62*E62</f>
        <v>0</v>
      </c>
      <c r="G62" s="1552"/>
      <c r="H62" s="2215"/>
      <c r="I62" s="2191"/>
    </row>
    <row r="63" spans="1:9" ht="27" customHeight="1" x14ac:dyDescent="0.2">
      <c r="A63" s="2215"/>
      <c r="B63" s="2218"/>
      <c r="C63" s="1194" t="str">
        <f>OF!C141</f>
        <v>Presence of one or more of the amphibian or reptile species (AM) of conservation concern as listed in the Wildlife_Rare worksheet of the accompanying SuppInfo file.</v>
      </c>
      <c r="D63" s="1178">
        <f>OF!D141</f>
        <v>0</v>
      </c>
      <c r="E63" s="1173">
        <v>1</v>
      </c>
      <c r="F63" s="1174">
        <f>D63*E63</f>
        <v>0</v>
      </c>
      <c r="G63" s="1553"/>
      <c r="H63" s="2215"/>
      <c r="I63" s="2191"/>
    </row>
    <row r="64" spans="1:9" ht="27" customHeight="1" x14ac:dyDescent="0.2">
      <c r="A64" s="2215"/>
      <c r="B64" s="2218"/>
      <c r="C64" s="1194" t="str">
        <f>OF!C142</f>
        <v>Presence of one or more of the waterbird species (WBF, WBN) of conservation concern as listed in the Wildlife_Rare worksheet of the accompanying SuppInfo file.</v>
      </c>
      <c r="D64" s="1172">
        <f>OF!D142</f>
        <v>0</v>
      </c>
      <c r="E64" s="1173">
        <v>1</v>
      </c>
      <c r="F64" s="1174">
        <f t="shared" ref="F64:F66" si="5">D64*E64</f>
        <v>0</v>
      </c>
      <c r="G64" s="1553"/>
      <c r="H64" s="2215"/>
      <c r="I64" s="2191"/>
    </row>
    <row r="65" spans="1:9" ht="27" customHeight="1" x14ac:dyDescent="0.2">
      <c r="A65" s="2215"/>
      <c r="B65" s="2218"/>
      <c r="C65" s="1194" t="str">
        <f>OF!C143</f>
        <v>Presence of one or more of the nesting songbird or raptor species (SBM) of conservation concern as listed in the Wildlife_Rare worksheet of the accompanying SuppInfo file, during their nesting season (May-July for most species).</v>
      </c>
      <c r="D65" s="1172">
        <f>OF!D143</f>
        <v>0</v>
      </c>
      <c r="E65" s="1173">
        <v>1</v>
      </c>
      <c r="F65" s="1174">
        <f t="shared" si="5"/>
        <v>0</v>
      </c>
      <c r="G65" s="1553"/>
      <c r="H65" s="2215"/>
      <c r="I65" s="2191"/>
    </row>
    <row r="66" spans="1:9" ht="21.75" customHeight="1" thickBot="1" x14ac:dyDescent="0.25">
      <c r="A66" s="2216"/>
      <c r="B66" s="2219"/>
      <c r="C66" s="1195" t="str">
        <f>OF!C144</f>
        <v>None of the above, or no data.</v>
      </c>
      <c r="D66" s="1181">
        <f>OF!D144</f>
        <v>0</v>
      </c>
      <c r="E66" s="1207">
        <v>1</v>
      </c>
      <c r="F66" s="1189">
        <f t="shared" si="5"/>
        <v>0</v>
      </c>
      <c r="G66" s="1554"/>
      <c r="H66" s="2216"/>
      <c r="I66" s="2192"/>
    </row>
    <row r="67" spans="1:9" ht="26.25" customHeight="1" thickBot="1" x14ac:dyDescent="0.25">
      <c r="A67" s="2217" t="str">
        <f>F!A4</f>
        <v>F1</v>
      </c>
      <c r="B67" s="2214" t="str">
        <f>F!B4</f>
        <v>Wetland Type</v>
      </c>
      <c r="C67" s="1548" t="str">
        <f>F!C4</f>
        <v>Follow the key below and mark the ONE row that best describes MOST of the vegetated part of the AA:</v>
      </c>
      <c r="D67" s="1227"/>
      <c r="E67" s="1229"/>
      <c r="F67" s="1217"/>
      <c r="G67" s="1218">
        <f>MAX(F68:F73)/MAX(E68:E73)</f>
        <v>0</v>
      </c>
      <c r="H67" s="2214" t="s">
        <v>2246</v>
      </c>
      <c r="I67" s="2190" t="s">
        <v>548</v>
      </c>
    </row>
    <row r="68" spans="1:9" ht="42" customHeight="1" thickBot="1" x14ac:dyDescent="0.25">
      <c r="A68" s="2218"/>
      <c r="B68" s="2215"/>
      <c r="C68" s="1197" t="str">
        <f>F!C5</f>
        <v>A. Moss and/or lichen cover more than 25%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v>
      </c>
      <c r="D68" s="1222"/>
      <c r="E68" s="1174"/>
      <c r="F68" s="1174"/>
      <c r="G68" s="1175"/>
      <c r="H68" s="2215"/>
      <c r="I68" s="2191"/>
    </row>
    <row r="69" spans="1:9" ht="81.75" customHeight="1" x14ac:dyDescent="0.2">
      <c r="A69" s="2218"/>
      <c r="B69" s="2215"/>
      <c r="C69" s="1467" t="str">
        <f>F!C6</f>
        <v>A1.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(Carex rariflora). Wetland surface and surrounding landscape are seldom sloping and wetland often is domed (convex). Inlet and outlet channels are usually absent.  If known, pH of peat is &lt;4.0.</v>
      </c>
      <c r="D69" s="1172">
        <f>F!D6</f>
        <v>0</v>
      </c>
      <c r="E69" s="1174">
        <v>4</v>
      </c>
      <c r="F69" s="1174">
        <f>D69*E69</f>
        <v>0</v>
      </c>
      <c r="G69" s="1177"/>
      <c r="H69" s="2215"/>
      <c r="I69" s="2191"/>
    </row>
    <row r="70" spans="1:9" ht="57" customHeight="1" thickBot="1" x14ac:dyDescent="0.25">
      <c r="A70" s="2218"/>
      <c r="B70" s="2215"/>
      <c r="C70" s="1195" t="str">
        <f>F!C7</f>
        <v>A2.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v>
      </c>
      <c r="D70" s="1206">
        <f>F!D7</f>
        <v>0</v>
      </c>
      <c r="E70" s="1174">
        <v>2</v>
      </c>
      <c r="F70" s="1174">
        <f>D70*E70</f>
        <v>0</v>
      </c>
      <c r="G70" s="1177"/>
      <c r="H70" s="2215"/>
      <c r="I70" s="2191"/>
    </row>
    <row r="71" spans="1:9" ht="30" customHeight="1" thickBot="1" x14ac:dyDescent="0.25">
      <c r="A71" s="2218"/>
      <c r="B71" s="2215"/>
      <c r="C71" s="1197" t="str">
        <f>F!C8</f>
        <v>B. Moss and/or lichen cover less than 25% of the ground. Soil is mineral or decomposed organic (muck). Choose between B1 and B2 and mark the choice with a 1 in their adjoining column:</v>
      </c>
      <c r="D71" s="1222"/>
      <c r="E71" s="1174"/>
      <c r="F71" s="1174"/>
      <c r="G71" s="1175"/>
      <c r="H71" s="2215"/>
      <c r="I71" s="2191"/>
    </row>
    <row r="72" spans="1:9" ht="27" customHeight="1" x14ac:dyDescent="0.2">
      <c r="A72" s="2218"/>
      <c r="B72" s="2215"/>
      <c r="C72" s="1467" t="str">
        <f>F!C9</f>
        <v>B1. Trees and shrubs taller than 1 m comprise more than 25% of the vegetated cover. Surface water is mostly absent or inundates the vegetation only seasonally (e.g., vernal pools or floodplain).</v>
      </c>
      <c r="D72" s="1172">
        <f>F!D9</f>
        <v>0</v>
      </c>
      <c r="E72" s="1174">
        <v>3</v>
      </c>
      <c r="F72" s="1174">
        <f>D72*E72</f>
        <v>0</v>
      </c>
      <c r="G72" s="1175"/>
      <c r="H72" s="2215"/>
      <c r="I72" s="2191"/>
    </row>
    <row r="73" spans="1:9" ht="42" customHeight="1" thickBot="1" x14ac:dyDescent="0.25">
      <c r="A73" s="2219"/>
      <c r="B73" s="2216"/>
      <c r="C73" s="1195" t="str">
        <f>F!C10</f>
        <v>B2. Not B1.  Tree &amp; tall shrubs comprise less than than 25% of the vegetated cover.  Vegetation is mostly herbaceous, e.g., cattail, bulrush, burreed, pond lily, horsetail. Surface water may be extensive and fluctuates seasonally, being either persistent or drying up partly or entirely.</v>
      </c>
      <c r="D73" s="1223">
        <f>F!D10</f>
        <v>0</v>
      </c>
      <c r="E73" s="1189">
        <v>1</v>
      </c>
      <c r="F73" s="1189">
        <f>D73*E73</f>
        <v>0</v>
      </c>
      <c r="G73" s="1190"/>
      <c r="H73" s="2216"/>
      <c r="I73" s="2192"/>
    </row>
    <row r="74" spans="1:9" ht="45" customHeight="1" thickBot="1" x14ac:dyDescent="0.25">
      <c r="A74" s="1224" t="str">
        <f>F!A17</f>
        <v>F3</v>
      </c>
      <c r="B74" s="1224" t="str">
        <f>F!B17</f>
        <v>Woody Height &amp; Form Diversity</v>
      </c>
      <c r="C74" s="1225" t="str">
        <f>F!C17</f>
        <v>Following EACH row below, indicate with a number code the percentage of the living vegetation in the AA which is occupied by that feature (6 if &gt;95%, 5 if 75-95%, 4 if 50-75%, 3 if 25-50%, 2 if 5-25%, 1 if &lt;5%, 0 if none). If the vegetated part of the AA is largely herbaceous (non-woody) vegetation, these percentages should not sum to 100%.</v>
      </c>
      <c r="D74" s="1222"/>
      <c r="E74" s="1174"/>
      <c r="F74" s="1217"/>
      <c r="G74" s="1169">
        <f>MAX(F!D18:'F'!D19)/6</f>
        <v>0</v>
      </c>
      <c r="H74" s="1122" t="s">
        <v>2918</v>
      </c>
      <c r="I74" s="1228" t="s">
        <v>285</v>
      </c>
    </row>
    <row r="75" spans="1:9" ht="45" customHeight="1" thickBot="1" x14ac:dyDescent="0.25">
      <c r="A75" s="2222" t="str">
        <f>F!A28</f>
        <v>F5</v>
      </c>
      <c r="B75" s="2211" t="str">
        <f>F!B28</f>
        <v>Woody Diameter Classes</v>
      </c>
      <c r="C75" s="1165" t="str">
        <f>F!C28</f>
        <v>Mark ALL the types that comprise &gt;5% of the woody canopy cover in the AA or &gt;5% of the wooded areas (if any) along its upland edge (perimeter).  The edge should include only the trees whose canopies extend into the AA.</v>
      </c>
      <c r="D75" s="1167"/>
      <c r="E75" s="1167"/>
      <c r="F75" s="1168"/>
      <c r="G75" s="1169" t="str">
        <f>IF((MAX(F!D18:D21)&lt;3),"",(MAX(F76:F83))/MAX(E76:E83))</f>
        <v/>
      </c>
      <c r="H75" s="2243" t="s">
        <v>2517</v>
      </c>
      <c r="I75" s="2190" t="s">
        <v>559</v>
      </c>
    </row>
    <row r="76" spans="1:9" ht="15" customHeight="1" x14ac:dyDescent="0.2">
      <c r="A76" s="2223"/>
      <c r="B76" s="2212"/>
      <c r="C76" s="1171" t="str">
        <f>F!C29</f>
        <v>coniferous, 1-9 cm diameter and &gt;1 m tall.</v>
      </c>
      <c r="D76" s="1185">
        <f>F!D29</f>
        <v>0</v>
      </c>
      <c r="E76" s="1186">
        <v>0</v>
      </c>
      <c r="F76" s="1174">
        <f t="shared" ref="F76:F83" si="6">D76*E76</f>
        <v>0</v>
      </c>
      <c r="G76" s="1175"/>
      <c r="H76" s="2238"/>
      <c r="I76" s="2191"/>
    </row>
    <row r="77" spans="1:9" ht="15" customHeight="1" x14ac:dyDescent="0.2">
      <c r="A77" s="2223"/>
      <c r="B77" s="2212"/>
      <c r="C77" s="1176" t="str">
        <f>F!C30</f>
        <v>broad-leaved deciduous 1-9 cm diameter and &gt;1 m tall.</v>
      </c>
      <c r="D77" s="1172">
        <f>F!D30</f>
        <v>0</v>
      </c>
      <c r="E77" s="1186">
        <v>0</v>
      </c>
      <c r="F77" s="1174">
        <f t="shared" si="6"/>
        <v>0</v>
      </c>
      <c r="G77" s="1177"/>
      <c r="H77" s="2238"/>
      <c r="I77" s="2191"/>
    </row>
    <row r="78" spans="1:9" ht="15" customHeight="1" x14ac:dyDescent="0.2">
      <c r="A78" s="2223"/>
      <c r="B78" s="2212"/>
      <c r="C78" s="1176" t="str">
        <f>F!C31</f>
        <v>coniferous, 10-19 cm diameter.</v>
      </c>
      <c r="D78" s="1172">
        <f>F!D31</f>
        <v>0</v>
      </c>
      <c r="E78" s="1186">
        <v>1</v>
      </c>
      <c r="F78" s="1174">
        <f t="shared" si="6"/>
        <v>0</v>
      </c>
      <c r="G78" s="1177"/>
      <c r="H78" s="2238"/>
      <c r="I78" s="2191"/>
    </row>
    <row r="79" spans="1:9" ht="15" customHeight="1" x14ac:dyDescent="0.2">
      <c r="A79" s="2223"/>
      <c r="B79" s="2212"/>
      <c r="C79" s="1176" t="str">
        <f>F!C32</f>
        <v>broad-leaved deciduous 10-19 cm diameter.</v>
      </c>
      <c r="D79" s="1172">
        <f>F!D32</f>
        <v>0</v>
      </c>
      <c r="E79" s="1186">
        <v>1</v>
      </c>
      <c r="F79" s="1174">
        <f t="shared" si="6"/>
        <v>0</v>
      </c>
      <c r="G79" s="1177"/>
      <c r="H79" s="2238"/>
      <c r="I79" s="2191"/>
    </row>
    <row r="80" spans="1:9" ht="15" customHeight="1" x14ac:dyDescent="0.2">
      <c r="A80" s="2223"/>
      <c r="B80" s="2212"/>
      <c r="C80" s="1176" t="str">
        <f>F!C33</f>
        <v>coniferous, 20-40 cm diameter.</v>
      </c>
      <c r="D80" s="1172">
        <f>F!D33</f>
        <v>0</v>
      </c>
      <c r="E80" s="1186">
        <v>2</v>
      </c>
      <c r="F80" s="1174">
        <f t="shared" si="6"/>
        <v>0</v>
      </c>
      <c r="G80" s="1177"/>
      <c r="H80" s="2238"/>
      <c r="I80" s="2191"/>
    </row>
    <row r="81" spans="1:9" ht="15" customHeight="1" x14ac:dyDescent="0.2">
      <c r="A81" s="2223"/>
      <c r="B81" s="2212"/>
      <c r="C81" s="1176" t="str">
        <f>F!C34</f>
        <v>broad-leaved deciduous 20-40 cm diameter.</v>
      </c>
      <c r="D81" s="1172">
        <f>F!D34</f>
        <v>0</v>
      </c>
      <c r="E81" s="1186">
        <v>2</v>
      </c>
      <c r="F81" s="1174">
        <f t="shared" si="6"/>
        <v>0</v>
      </c>
      <c r="G81" s="1177"/>
      <c r="H81" s="2238"/>
      <c r="I81" s="2191"/>
    </row>
    <row r="82" spans="1:9" ht="15" customHeight="1" x14ac:dyDescent="0.2">
      <c r="A82" s="2223"/>
      <c r="B82" s="2212"/>
      <c r="C82" s="1176" t="str">
        <f>F!C35</f>
        <v>coniferous, &gt;40 cm diameter.</v>
      </c>
      <c r="D82" s="1172">
        <f>F!D35</f>
        <v>0</v>
      </c>
      <c r="E82" s="1186">
        <v>3</v>
      </c>
      <c r="F82" s="1174">
        <f t="shared" si="6"/>
        <v>0</v>
      </c>
      <c r="G82" s="1177"/>
      <c r="H82" s="2238"/>
      <c r="I82" s="2191"/>
    </row>
    <row r="83" spans="1:9" ht="15" customHeight="1" thickBot="1" x14ac:dyDescent="0.25">
      <c r="A83" s="2224"/>
      <c r="B83" s="2213"/>
      <c r="C83" s="1187" t="str">
        <f>F!C36</f>
        <v>broad-leaved deciduous &gt;40 cm diameter.</v>
      </c>
      <c r="D83" s="1181">
        <f>F!D36</f>
        <v>0</v>
      </c>
      <c r="E83" s="1188">
        <v>3</v>
      </c>
      <c r="F83" s="1189">
        <f t="shared" si="6"/>
        <v>0</v>
      </c>
      <c r="G83" s="1190"/>
      <c r="H83" s="2244"/>
      <c r="I83" s="2192"/>
    </row>
    <row r="84" spans="1:9" ht="30" customHeight="1" thickBot="1" x14ac:dyDescent="0.25">
      <c r="A84" s="2222" t="str">
        <f>F!A25</f>
        <v>F4</v>
      </c>
      <c r="B84" s="2211" t="str">
        <f>F!B25</f>
        <v xml:space="preserve">Dominance of Most Abundant Shrub Species </v>
      </c>
      <c r="C84" s="1165" t="str">
        <f>F!C25</f>
        <v>Determine which two woody plant species comprise the greatest portion of the low (&lt;3 m) woody cover . Then choose one:</v>
      </c>
      <c r="D84" s="1167"/>
      <c r="E84" s="1167"/>
      <c r="F84" s="1168"/>
      <c r="G84" s="1169" t="str">
        <f>IF((MAX(F!D20:'F'!D21)&lt;2),"", MAX(F85:F86))</f>
        <v/>
      </c>
      <c r="H84" s="2243" t="s">
        <v>2518</v>
      </c>
      <c r="I84" s="2190" t="s">
        <v>558</v>
      </c>
    </row>
    <row r="85" spans="1:9" ht="15" customHeight="1" x14ac:dyDescent="0.2">
      <c r="A85" s="2223"/>
      <c r="B85" s="2212"/>
      <c r="C85" s="1171" t="str">
        <f>F!C26</f>
        <v>those species together comprise &gt; 50% of such cover.</v>
      </c>
      <c r="D85" s="1185">
        <f>F!D26</f>
        <v>0</v>
      </c>
      <c r="E85" s="1213">
        <v>0</v>
      </c>
      <c r="F85" s="1174">
        <f>D85*E85</f>
        <v>0</v>
      </c>
      <c r="G85" s="1175"/>
      <c r="H85" s="2238"/>
      <c r="I85" s="2191"/>
    </row>
    <row r="86" spans="1:9" ht="15" customHeight="1" thickBot="1" x14ac:dyDescent="0.25">
      <c r="A86" s="2224"/>
      <c r="B86" s="2213"/>
      <c r="C86" s="1187" t="str">
        <f>F!C27</f>
        <v>those species together do not comprise &gt; 50% of such cover.</v>
      </c>
      <c r="D86" s="1181">
        <f>F!D27</f>
        <v>0</v>
      </c>
      <c r="E86" s="1214">
        <v>1</v>
      </c>
      <c r="F86" s="1189">
        <f>D86*E86</f>
        <v>0</v>
      </c>
      <c r="G86" s="1190"/>
      <c r="H86" s="2244"/>
      <c r="I86" s="2192"/>
    </row>
    <row r="87" spans="1:9" ht="21" customHeight="1" thickBot="1" x14ac:dyDescent="0.25">
      <c r="A87" s="2222" t="str">
        <f>F!A37</f>
        <v>F6</v>
      </c>
      <c r="B87" s="2211" t="str">
        <f>F!B37</f>
        <v>Height Class Interspersion</v>
      </c>
      <c r="C87" s="1165" t="str">
        <f>F!C37</f>
        <v>Follow the key below and mark the ONE row that best describes MOST of the AA:</v>
      </c>
      <c r="D87" s="1167"/>
      <c r="E87" s="1221"/>
      <c r="F87" s="1200"/>
      <c r="G87" s="1169" t="str">
        <f>IF((MAX(F!D18:D21)&lt;2),"",(MAX(F89:F93))/MAX(E89:E93))</f>
        <v/>
      </c>
      <c r="H87" s="2214" t="s">
        <v>2519</v>
      </c>
      <c r="I87" s="2190" t="s">
        <v>557</v>
      </c>
    </row>
    <row r="88" spans="1:9" ht="45" customHeight="1" thickBot="1" x14ac:dyDescent="0.25">
      <c r="A88" s="2223"/>
      <c r="B88" s="2212"/>
      <c r="C88" s="1197" t="str">
        <f>F!C38</f>
        <v xml:space="preserve">A. Neither the vegetation taller than 1 m nor the vegetation shorter than that comprise &gt;70% of the vegetated part of the AA.  They each comprise 30-70%.  Choose between A1 and A2 and mark the choice with a 1 in the adjoining column.  Otherwise go to B below. </v>
      </c>
      <c r="D88" s="1216"/>
      <c r="E88" s="1227"/>
      <c r="F88" s="1229"/>
      <c r="G88" s="1177"/>
      <c r="H88" s="2215"/>
      <c r="I88" s="2191"/>
    </row>
    <row r="89" spans="1:9" ht="15" customHeight="1" x14ac:dyDescent="0.2">
      <c r="A89" s="2223"/>
      <c r="B89" s="2212"/>
      <c r="C89" s="1171" t="str">
        <f>F!C39</f>
        <v>A1. The two height classes are mostly scattered and intermixed throughout the AA.</v>
      </c>
      <c r="D89" s="1185">
        <f>F!D39</f>
        <v>0</v>
      </c>
      <c r="E89" s="1227">
        <v>3</v>
      </c>
      <c r="F89" s="1174">
        <f>D89*E89</f>
        <v>0</v>
      </c>
      <c r="G89" s="1177"/>
      <c r="H89" s="2215"/>
      <c r="I89" s="2191"/>
    </row>
    <row r="90" spans="1:9" ht="27" customHeight="1" thickBot="1" x14ac:dyDescent="0.25">
      <c r="A90" s="2223"/>
      <c r="B90" s="2212"/>
      <c r="C90" s="1464" t="str">
        <f>F!C40</f>
        <v>A2. Not A1.  The two height classes are mostly in separate zones or bands, or in proportionately large clumps.</v>
      </c>
      <c r="D90" s="1185">
        <f>F!D40</f>
        <v>0</v>
      </c>
      <c r="E90" s="1230">
        <v>2</v>
      </c>
      <c r="F90" s="1174">
        <f>D90*E90</f>
        <v>0</v>
      </c>
      <c r="G90" s="1177"/>
      <c r="H90" s="2215"/>
      <c r="I90" s="2191"/>
    </row>
    <row r="91" spans="1:9" ht="45" customHeight="1" thickBot="1" x14ac:dyDescent="0.25">
      <c r="A91" s="2223"/>
      <c r="B91" s="2212"/>
      <c r="C91" s="1197" t="str">
        <f>F!C41</f>
        <v>B. Either the vegetation shorter than 1 m comprises &gt;70% of the vegetated part of the AA, or the vegetation taller than that does.  One size class might even be totally absent.  Choose between B1 and B2 and mark the choice with a 1 in the adjoining column:</v>
      </c>
      <c r="D91" s="1230"/>
      <c r="E91" s="1230"/>
      <c r="F91" s="1174"/>
      <c r="G91" s="1177"/>
      <c r="H91" s="2215"/>
      <c r="I91" s="2191"/>
    </row>
    <row r="92" spans="1:9" ht="15" customHeight="1" x14ac:dyDescent="0.2">
      <c r="A92" s="2223"/>
      <c r="B92" s="2212"/>
      <c r="C92" s="1171" t="str">
        <f>F!C42</f>
        <v>B1. The less prevalent height class is mostly scattered and intermixed within the prevalent one.</v>
      </c>
      <c r="D92" s="1185">
        <f>F!D42</f>
        <v>0</v>
      </c>
      <c r="E92" s="1230">
        <v>1</v>
      </c>
      <c r="F92" s="1174">
        <f>D92*E92</f>
        <v>0</v>
      </c>
      <c r="G92" s="1177"/>
      <c r="H92" s="2215"/>
      <c r="I92" s="2191"/>
    </row>
    <row r="93" spans="1:9" ht="27" customHeight="1" thickBot="1" x14ac:dyDescent="0.25">
      <c r="A93" s="2224"/>
      <c r="B93" s="2213"/>
      <c r="C93" s="1231" t="str">
        <f>F!C43</f>
        <v>B2. Not B1.  The less prevalent height class is mostly located apart from the prevalent one, in separate zones or clumps, or is completely absent.</v>
      </c>
      <c r="D93" s="1226">
        <f>F!D43</f>
        <v>0</v>
      </c>
      <c r="E93" s="1196">
        <v>0</v>
      </c>
      <c r="F93" s="1189">
        <f>D93*E93</f>
        <v>0</v>
      </c>
      <c r="G93" s="1190"/>
      <c r="H93" s="2216"/>
      <c r="I93" s="2192"/>
    </row>
    <row r="94" spans="1:9" ht="30" customHeight="1" thickBot="1" x14ac:dyDescent="0.25">
      <c r="A94" s="2231" t="str">
        <f>F!A51</f>
        <v>F9</v>
      </c>
      <c r="B94" s="2215" t="str">
        <f>F!B51</f>
        <v>N Fixers</v>
      </c>
      <c r="C94" s="1215" t="str">
        <f>F!C51</f>
        <v>The percentage of the AA's vegetated cover that contains nitrogen-fixing plants (e.g., alder, sweetgale, clover, lupine, alfalfa, other legumes) is:</v>
      </c>
      <c r="D94" s="1216"/>
      <c r="E94" s="1210"/>
      <c r="F94" s="1217"/>
      <c r="G94" s="1218">
        <f>MAX(F95:F99)/MAX(E95:E99)</f>
        <v>0</v>
      </c>
      <c r="H94" s="2237" t="s">
        <v>1487</v>
      </c>
      <c r="I94" s="2190" t="s">
        <v>560</v>
      </c>
    </row>
    <row r="95" spans="1:9" ht="15" customHeight="1" x14ac:dyDescent="0.2">
      <c r="A95" s="2231"/>
      <c r="B95" s="2215"/>
      <c r="C95" s="1171" t="str">
        <f>F!C52</f>
        <v>&lt;1% or none.</v>
      </c>
      <c r="D95" s="1185">
        <f>F!D52</f>
        <v>0</v>
      </c>
      <c r="E95" s="1186">
        <v>0</v>
      </c>
      <c r="F95" s="1174">
        <f>D95*E95</f>
        <v>0</v>
      </c>
      <c r="G95" s="1175"/>
      <c r="H95" s="2238"/>
      <c r="I95" s="2191"/>
    </row>
    <row r="96" spans="1:9" ht="15" customHeight="1" x14ac:dyDescent="0.2">
      <c r="A96" s="2231"/>
      <c r="B96" s="2215"/>
      <c r="C96" s="1176" t="str">
        <f>F!C53</f>
        <v>1-25% of the vegetated cover, in the AA or along its water edge (whichever has more).</v>
      </c>
      <c r="D96" s="1172">
        <f>F!D53</f>
        <v>0</v>
      </c>
      <c r="E96" s="1186">
        <v>2</v>
      </c>
      <c r="F96" s="1174">
        <f>D96*E96</f>
        <v>0</v>
      </c>
      <c r="G96" s="1177"/>
      <c r="H96" s="2238"/>
      <c r="I96" s="2191"/>
    </row>
    <row r="97" spans="1:9" ht="15" customHeight="1" x14ac:dyDescent="0.2">
      <c r="A97" s="2231"/>
      <c r="B97" s="2215"/>
      <c r="C97" s="1176" t="str">
        <f>F!C54</f>
        <v>25-50% of the vegetated cover, in the AA or along its water edge (whichever has more).</v>
      </c>
      <c r="D97" s="1172">
        <f>F!D54</f>
        <v>0</v>
      </c>
      <c r="E97" s="1186">
        <v>3</v>
      </c>
      <c r="F97" s="1174">
        <f>D97*E97</f>
        <v>0</v>
      </c>
      <c r="G97" s="1177"/>
      <c r="H97" s="2238"/>
      <c r="I97" s="2191"/>
    </row>
    <row r="98" spans="1:9" ht="15" customHeight="1" x14ac:dyDescent="0.2">
      <c r="A98" s="2231"/>
      <c r="B98" s="2215"/>
      <c r="C98" s="1176" t="str">
        <f>F!C55</f>
        <v>50-75% of the vegetated cover, in the AA or along its water edge (whichever has more).</v>
      </c>
      <c r="D98" s="1172">
        <f>F!D55</f>
        <v>0</v>
      </c>
      <c r="E98" s="1186">
        <v>4</v>
      </c>
      <c r="F98" s="1174">
        <f>D98*E98</f>
        <v>0</v>
      </c>
      <c r="G98" s="1177"/>
      <c r="H98" s="2238"/>
      <c r="I98" s="2191"/>
    </row>
    <row r="99" spans="1:9" ht="15" customHeight="1" thickBot="1" x14ac:dyDescent="0.25">
      <c r="A99" s="2231"/>
      <c r="B99" s="2215"/>
      <c r="C99" s="1219" t="str">
        <f>F!C56</f>
        <v>&gt;75% of the vegetated cover, in the AA or along its water edge (whichever has more).</v>
      </c>
      <c r="D99" s="1179">
        <f>F!D56</f>
        <v>0</v>
      </c>
      <c r="E99" s="1203">
        <v>5</v>
      </c>
      <c r="F99" s="1183">
        <f>D99*E99</f>
        <v>0</v>
      </c>
      <c r="G99" s="1184"/>
      <c r="H99" s="2239"/>
      <c r="I99" s="2192"/>
    </row>
    <row r="100" spans="1:9" ht="30" customHeight="1" thickBot="1" x14ac:dyDescent="0.25">
      <c r="A100" s="2222" t="str">
        <f>F!A63</f>
        <v>F11</v>
      </c>
      <c r="B100" s="2211" t="str">
        <f>F!B63</f>
        <v>% Bare Ground &amp; Thatch</v>
      </c>
      <c r="C100" s="1165" t="str">
        <f>F!C63</f>
        <v>Consider the parts of the AA that lack surface water at the driest time of the growing season. Viewed from directly above the ground layer, the predominant condition in those areas at that time is:</v>
      </c>
      <c r="D100" s="1167"/>
      <c r="E100" s="1167"/>
      <c r="F100" s="1168"/>
      <c r="G100" s="1169">
        <f>MAX(F101:F104)/MAX(E101:E104)</f>
        <v>0</v>
      </c>
      <c r="H100" s="2214" t="s">
        <v>482</v>
      </c>
      <c r="I100" s="2190" t="s">
        <v>561</v>
      </c>
    </row>
    <row r="101" spans="1:9" ht="42" customHeight="1" x14ac:dyDescent="0.2">
      <c r="A101" s="2223"/>
      <c r="B101" s="2212"/>
      <c r="C101" s="1171" t="str">
        <f>F!C64</f>
        <v>Little or no (&lt;5%) bare ground is visible between erect stems or under canopy anywhere in the vegetated AA. Ground is extensively blanketed by dense thatch, moss, lichens, graminoids with great stem densities, or plants with ground-hugging foliage. </v>
      </c>
      <c r="D101" s="1185">
        <f>F!D64</f>
        <v>0</v>
      </c>
      <c r="E101" s="1186">
        <v>0</v>
      </c>
      <c r="F101" s="1174">
        <f>D101*E101</f>
        <v>0</v>
      </c>
      <c r="G101" s="1175"/>
      <c r="H101" s="2215"/>
      <c r="I101" s="2191"/>
    </row>
    <row r="102" spans="1:9" ht="27" customHeight="1" x14ac:dyDescent="0.2">
      <c r="A102" s="2223"/>
      <c r="B102" s="2212"/>
      <c r="C102" s="1176" t="str">
        <f>F!C65</f>
        <v>Slightly bare ground (5-20% bare between plants) is visible in places, but those areas comprise less than 5% of the unflooded parts of the AA.</v>
      </c>
      <c r="D102" s="1172">
        <f>F!D65</f>
        <v>0</v>
      </c>
      <c r="E102" s="1186">
        <v>1</v>
      </c>
      <c r="F102" s="1174">
        <f>D102*E102</f>
        <v>0</v>
      </c>
      <c r="G102" s="1177"/>
      <c r="H102" s="2215"/>
      <c r="I102" s="2191"/>
    </row>
    <row r="103" spans="1:9" ht="27" customHeight="1" x14ac:dyDescent="0.2">
      <c r="A103" s="2223"/>
      <c r="B103" s="2212"/>
      <c r="C103" s="1176" t="str">
        <f>F!C66</f>
        <v>Much bare ground (20-50% bare between plants) is visible in places, and those areas comprise more than 5% of the unflooded parts of the AA. </v>
      </c>
      <c r="D103" s="1172">
        <f>F!D66</f>
        <v>0</v>
      </c>
      <c r="E103" s="1186">
        <v>2</v>
      </c>
      <c r="F103" s="1174">
        <f>D103*E103</f>
        <v>0</v>
      </c>
      <c r="G103" s="1177"/>
      <c r="H103" s="2215"/>
      <c r="I103" s="2191"/>
    </row>
    <row r="104" spans="1:9" ht="15" customHeight="1" thickBot="1" x14ac:dyDescent="0.25">
      <c r="A104" s="2224"/>
      <c r="B104" s="2213"/>
      <c r="C104" s="1187" t="str">
        <f>F!C67</f>
        <v>Other conditions.</v>
      </c>
      <c r="D104" s="1181">
        <f>F!D67</f>
        <v>0</v>
      </c>
      <c r="E104" s="1188">
        <v>3</v>
      </c>
      <c r="F104" s="1189">
        <f>D104*E104</f>
        <v>0</v>
      </c>
      <c r="G104" s="1190"/>
      <c r="H104" s="2216"/>
      <c r="I104" s="2192"/>
    </row>
    <row r="105" spans="1:9" ht="45" customHeight="1" thickBot="1" x14ac:dyDescent="0.25">
      <c r="A105" s="2240" t="str">
        <f>F!A77</f>
        <v>F14</v>
      </c>
      <c r="B105" s="2212" t="str">
        <f>F!B77</f>
        <v>Soil Texture</v>
      </c>
      <c r="C105" s="1215" t="str">
        <f>F!C77</f>
        <v xml:space="preserve">In parts of the AA that lack persistent water, the texture of soil in the uppermost layer is mostly:  [To determine this, use a trowel to check in at least 3 widely spaced locations, and use the soil texture key (in Appendix A of the Manual).] </v>
      </c>
      <c r="D105" s="1167"/>
      <c r="E105" s="1216"/>
      <c r="F105" s="1217"/>
      <c r="G105" s="1218">
        <f>MAX(F106:F110)/MAX(E106:E110)</f>
        <v>0</v>
      </c>
      <c r="H105" s="2215" t="s">
        <v>1488</v>
      </c>
      <c r="I105" s="2190" t="s">
        <v>562</v>
      </c>
    </row>
    <row r="106" spans="1:9" ht="27" customHeight="1" x14ac:dyDescent="0.2">
      <c r="A106" s="2240"/>
      <c r="B106" s="2212"/>
      <c r="C106" s="1171" t="str">
        <f>F!C78</f>
        <v>Loamy: soils that may contain a little fine grit and do not make a "ribbon" longer than 2 cm when moistened, rolled, squeezed, and extended between thumb and forefinger.</v>
      </c>
      <c r="D106" s="1185">
        <f>F!D78</f>
        <v>0</v>
      </c>
      <c r="E106" s="1213">
        <v>1</v>
      </c>
      <c r="F106" s="1174">
        <f>D106*E106</f>
        <v>0</v>
      </c>
      <c r="G106" s="1175"/>
      <c r="H106" s="2215"/>
      <c r="I106" s="2191"/>
    </row>
    <row r="107" spans="1:9" ht="27" customHeight="1" x14ac:dyDescent="0.2">
      <c r="A107" s="2240"/>
      <c r="B107" s="2212"/>
      <c r="C107" s="1176" t="str">
        <f>F!C79</f>
        <v>Fines: includes silt, clay, silt, soils that make a ribbon longer than 2 cm when moistened, rolled, squeezed, and extended between thumb and forefinger.</v>
      </c>
      <c r="D107" s="1172">
        <f>F!D79</f>
        <v>0</v>
      </c>
      <c r="E107" s="1213">
        <v>1</v>
      </c>
      <c r="F107" s="1174">
        <f>D107*E107</f>
        <v>0</v>
      </c>
      <c r="G107" s="1177"/>
      <c r="H107" s="2215"/>
      <c r="I107" s="2191"/>
    </row>
    <row r="108" spans="1:9" ht="15" customHeight="1" x14ac:dyDescent="0.2">
      <c r="A108" s="2240"/>
      <c r="B108" s="2212"/>
      <c r="C108" s="1176" t="str">
        <f>F!C80</f>
        <v>Deep Peat, to 40 cm depth or greater.</v>
      </c>
      <c r="D108" s="1172">
        <f>F!D80</f>
        <v>0</v>
      </c>
      <c r="E108" s="1213">
        <v>3</v>
      </c>
      <c r="F108" s="1174">
        <f>D108*E108</f>
        <v>0</v>
      </c>
      <c r="G108" s="1177"/>
      <c r="H108" s="2215"/>
      <c r="I108" s="2191"/>
    </row>
    <row r="109" spans="1:9" ht="15" customHeight="1" x14ac:dyDescent="0.2">
      <c r="A109" s="2240"/>
      <c r="B109" s="2212"/>
      <c r="C109" s="1176" t="str">
        <f>F!C81</f>
        <v xml:space="preserve">Shallow Peat or organic &lt;40 cm deep. </v>
      </c>
      <c r="D109" s="1172">
        <f>F!D81</f>
        <v>0</v>
      </c>
      <c r="E109" s="1213">
        <v>4</v>
      </c>
      <c r="F109" s="1174">
        <f>D109*E109</f>
        <v>0</v>
      </c>
      <c r="G109" s="1177"/>
      <c r="H109" s="2215"/>
      <c r="I109" s="2191"/>
    </row>
    <row r="110" spans="1:9" ht="27" customHeight="1" thickBot="1" x14ac:dyDescent="0.25">
      <c r="A110" s="2240"/>
      <c r="B110" s="2212"/>
      <c r="C110" s="1219" t="str">
        <f>F!C82</f>
        <v>Coarse: includes sand, loamy sand, gravel, cobble, soils that do not make a ribbon when moistened, rolled, squeezed, and extended between thumb and forefinger.</v>
      </c>
      <c r="D110" s="1179">
        <f>F!D82</f>
        <v>0</v>
      </c>
      <c r="E110" s="1232">
        <v>0</v>
      </c>
      <c r="F110" s="1183">
        <f>D110*E110</f>
        <v>0</v>
      </c>
      <c r="G110" s="1184"/>
      <c r="H110" s="2215"/>
      <c r="I110" s="2192"/>
    </row>
    <row r="111" spans="1:9" ht="63" customHeight="1" thickBot="1" x14ac:dyDescent="0.25">
      <c r="A111" s="2217" t="str">
        <f>F!A105</f>
        <v>F19</v>
      </c>
      <c r="B111" s="2214" t="str">
        <f>F!B105</f>
        <v xml:space="preserve">Dominance of Most Abundant Herbaceous Species </v>
      </c>
      <c r="C111" s="1165" t="str">
        <f>F!C105</f>
        <v>Determine which two herbaceous species comprise the greatest portion of the herbaceous cover (excluding mosses and floating-leaved aquatic plants). Then choose one of the following:</v>
      </c>
      <c r="D111" s="1167"/>
      <c r="E111" s="1199"/>
      <c r="F111" s="1200"/>
      <c r="G111" s="1169">
        <f>IF((NoHerbCov=1),"",MAX(F112:F113))</f>
        <v>0</v>
      </c>
      <c r="H111" s="2243" t="s">
        <v>2520</v>
      </c>
      <c r="I111" s="2190" t="s">
        <v>556</v>
      </c>
    </row>
    <row r="112" spans="1:9" ht="39" customHeight="1" x14ac:dyDescent="0.2">
      <c r="A112" s="2218"/>
      <c r="B112" s="2215"/>
      <c r="C112" s="1171" t="str">
        <f>F!C106</f>
        <v>those species together comprise &gt; 50% of the areal cover of herbaceous plants at any time during the year.</v>
      </c>
      <c r="D112" s="1185">
        <f>F!D106</f>
        <v>0</v>
      </c>
      <c r="E112" s="1186">
        <v>0</v>
      </c>
      <c r="F112" s="1174">
        <f>D112*E112</f>
        <v>0</v>
      </c>
      <c r="G112" s="1177"/>
      <c r="H112" s="2238"/>
      <c r="I112" s="2191"/>
    </row>
    <row r="113" spans="1:9" ht="39" customHeight="1" thickBot="1" x14ac:dyDescent="0.25">
      <c r="A113" s="2219"/>
      <c r="B113" s="2216"/>
      <c r="C113" s="1187" t="str">
        <f>F!C107</f>
        <v>those species together do not comprise &gt; 50% of the areal cover of herbaceous plants at any time during the year.</v>
      </c>
      <c r="D113" s="1181">
        <f>F!D107</f>
        <v>0</v>
      </c>
      <c r="E113" s="1188">
        <v>1</v>
      </c>
      <c r="F113" s="1189">
        <f>D113*E113</f>
        <v>0</v>
      </c>
      <c r="G113" s="1190"/>
      <c r="H113" s="2244"/>
      <c r="I113" s="2192"/>
    </row>
    <row r="114" spans="1:9" ht="30" customHeight="1" thickBot="1" x14ac:dyDescent="0.25">
      <c r="A114" s="2222" t="str">
        <f>F!A108</f>
        <v>F20</v>
      </c>
      <c r="B114" s="2211" t="str">
        <f>F!B108</f>
        <v>Invasive Plant Cover</v>
      </c>
      <c r="C114" s="1165" t="str">
        <f>F!C108</f>
        <v>How extensive is the cover of invasive plant species in the AA?  For species, see Plants_invasive worksheet in the accompanying SuppInfo file.</v>
      </c>
      <c r="D114" s="1167"/>
      <c r="E114" s="1166"/>
      <c r="F114" s="1233"/>
      <c r="G114" s="1169">
        <f>(MAX(F115:F119))/MAX(E115:E119)</f>
        <v>0</v>
      </c>
      <c r="H114" s="2243" t="s">
        <v>1609</v>
      </c>
      <c r="I114" s="2190" t="s">
        <v>555</v>
      </c>
    </row>
    <row r="115" spans="1:9" ht="15" customHeight="1" x14ac:dyDescent="0.2">
      <c r="A115" s="2223"/>
      <c r="B115" s="2212"/>
      <c r="C115" s="1171" t="str">
        <f>F!C109</f>
        <v>invasive species appear to be absent in the AA, or are present only in trace amount (a few individuals).</v>
      </c>
      <c r="D115" s="1185">
        <f>F!D109</f>
        <v>0</v>
      </c>
      <c r="E115" s="1213">
        <v>4</v>
      </c>
      <c r="F115" s="1174">
        <f>D115*E115</f>
        <v>0</v>
      </c>
      <c r="G115" s="1175"/>
      <c r="H115" s="2238"/>
      <c r="I115" s="2191"/>
    </row>
    <row r="116" spans="1:9" ht="27" customHeight="1" x14ac:dyDescent="0.2">
      <c r="A116" s="2223"/>
      <c r="B116" s="2212"/>
      <c r="C116" s="1176" t="str">
        <f>F!C110</f>
        <v>invasive species are present in more than trace amounts, but comprise &lt;5% of herbaceous cover (or woody cover, if the invasives are woody).</v>
      </c>
      <c r="D116" s="1172">
        <f>F!D110</f>
        <v>0</v>
      </c>
      <c r="E116" s="1216">
        <v>3</v>
      </c>
      <c r="F116" s="1174">
        <f>D116*E116</f>
        <v>0</v>
      </c>
      <c r="G116" s="1175"/>
      <c r="H116" s="2238"/>
      <c r="I116" s="2191"/>
    </row>
    <row r="117" spans="1:9" ht="15" customHeight="1" x14ac:dyDescent="0.2">
      <c r="A117" s="2223"/>
      <c r="B117" s="2212"/>
      <c r="C117" s="1176" t="str">
        <f>F!C111</f>
        <v>invasive species comprise 5-20% of the herb cover (or woody cover, if the invasives are woody).</v>
      </c>
      <c r="D117" s="1172">
        <f>F!D111</f>
        <v>0</v>
      </c>
      <c r="E117" s="1210">
        <v>2</v>
      </c>
      <c r="F117" s="1229">
        <f>D117*E117</f>
        <v>0</v>
      </c>
      <c r="G117" s="1175"/>
      <c r="H117" s="2238"/>
      <c r="I117" s="2191"/>
    </row>
    <row r="118" spans="1:9" ht="15" customHeight="1" x14ac:dyDescent="0.2">
      <c r="A118" s="2223"/>
      <c r="B118" s="2212"/>
      <c r="C118" s="1176" t="str">
        <f>F!C112</f>
        <v>invasive species comprise 20-50% of the herb cover  (or woody cover, if the invasives are woody).</v>
      </c>
      <c r="D118" s="1172">
        <f>F!D112</f>
        <v>0</v>
      </c>
      <c r="E118" s="1186">
        <v>1</v>
      </c>
      <c r="F118" s="1174">
        <f>D118*E118</f>
        <v>0</v>
      </c>
      <c r="G118" s="1177"/>
      <c r="H118" s="2238"/>
      <c r="I118" s="2191"/>
    </row>
    <row r="119" spans="1:9" ht="15" customHeight="1" thickBot="1" x14ac:dyDescent="0.25">
      <c r="A119" s="2224"/>
      <c r="B119" s="2213"/>
      <c r="C119" s="1187" t="str">
        <f>F!C113</f>
        <v>invasive species comprise &gt;50% of the herb cover  (or woody cover, if the invasives are woody).</v>
      </c>
      <c r="D119" s="1181">
        <f>F!D113</f>
        <v>0</v>
      </c>
      <c r="E119" s="1188">
        <v>0</v>
      </c>
      <c r="F119" s="1189">
        <f>D119*E119</f>
        <v>0</v>
      </c>
      <c r="G119" s="1190"/>
      <c r="H119" s="2244"/>
      <c r="I119" s="2192"/>
    </row>
    <row r="120" spans="1:9" ht="30" customHeight="1" thickBot="1" x14ac:dyDescent="0.25">
      <c r="A120" s="2231" t="str">
        <f>F!A121</f>
        <v>F24</v>
      </c>
      <c r="B120" s="2215" t="str">
        <f>F!B121</f>
        <v>% of AA Without Surface Water</v>
      </c>
      <c r="C120" s="1234" t="str">
        <f>F!C121</f>
        <v>The percentage of the AA that never contains surface water during an average year (that is, except perhaps for a few hours after snowmelt or rainstorms), but which is still a wetland, is:</v>
      </c>
      <c r="D120" s="1216"/>
      <c r="E120" s="1235"/>
      <c r="F120" s="1236"/>
      <c r="G120" s="1218">
        <f>MAX(F121:F126)/MAX(E121:E126)</f>
        <v>0</v>
      </c>
      <c r="H120" s="2215" t="s">
        <v>1485</v>
      </c>
      <c r="I120" s="2190" t="s">
        <v>983</v>
      </c>
    </row>
    <row r="121" spans="1:9" ht="15" customHeight="1" x14ac:dyDescent="0.2">
      <c r="A121" s="2231"/>
      <c r="B121" s="2215"/>
      <c r="C121" s="1209" t="str">
        <f>F!C122</f>
        <v xml:space="preserve">&lt;1% . In other words, all or nearly all of the AA is covered by water permanently or at least seasonally.  </v>
      </c>
      <c r="D121" s="1185">
        <f>F!D122</f>
        <v>0</v>
      </c>
      <c r="E121" s="1174">
        <v>0</v>
      </c>
      <c r="F121" s="1174">
        <f t="shared" ref="F121:F126" si="7">D121*E121</f>
        <v>0</v>
      </c>
      <c r="G121" s="1177"/>
      <c r="H121" s="2215"/>
      <c r="I121" s="2191"/>
    </row>
    <row r="122" spans="1:9" ht="15" customHeight="1" x14ac:dyDescent="0.2">
      <c r="A122" s="2231"/>
      <c r="B122" s="2215"/>
      <c r="C122" s="1209" t="str">
        <f>F!C123</f>
        <v>1-25% of the AA,  or &lt;1% but &gt;0.01 ha never contains surface water.</v>
      </c>
      <c r="D122" s="1185">
        <f>F!D123</f>
        <v>0</v>
      </c>
      <c r="E122" s="1174">
        <v>1</v>
      </c>
      <c r="F122" s="1174">
        <f t="shared" si="7"/>
        <v>0</v>
      </c>
      <c r="G122" s="1177"/>
      <c r="H122" s="2215"/>
      <c r="I122" s="2191"/>
    </row>
    <row r="123" spans="1:9" ht="15" customHeight="1" x14ac:dyDescent="0.2">
      <c r="A123" s="2231"/>
      <c r="B123" s="2215"/>
      <c r="C123" s="1209" t="str">
        <f>F!C124</f>
        <v>25-50% of the AA never contains surface water.</v>
      </c>
      <c r="D123" s="1185">
        <f>F!D124</f>
        <v>0</v>
      </c>
      <c r="E123" s="1174">
        <v>2</v>
      </c>
      <c r="F123" s="1174">
        <f t="shared" si="7"/>
        <v>0</v>
      </c>
      <c r="G123" s="1177"/>
      <c r="H123" s="2215"/>
      <c r="I123" s="2191"/>
    </row>
    <row r="124" spans="1:9" ht="15" customHeight="1" x14ac:dyDescent="0.2">
      <c r="A124" s="2231"/>
      <c r="B124" s="2215"/>
      <c r="C124" s="1209" t="str">
        <f>F!C125</f>
        <v>50-75% of the AA never contains surface water.</v>
      </c>
      <c r="D124" s="1185">
        <f>F!D125</f>
        <v>0</v>
      </c>
      <c r="E124" s="1174">
        <v>3</v>
      </c>
      <c r="F124" s="1174">
        <f t="shared" si="7"/>
        <v>0</v>
      </c>
      <c r="G124" s="1177"/>
      <c r="H124" s="2215"/>
      <c r="I124" s="2191"/>
    </row>
    <row r="125" spans="1:9" ht="27" customHeight="1" x14ac:dyDescent="0.2">
      <c r="A125" s="2231"/>
      <c r="B125" s="2215"/>
      <c r="C125" s="1209" t="str">
        <f>F!C126</f>
        <v>75-99% of the AA never contains surface water, OR &gt;99% and there is at least one persistently ponded water body larger than 1 ha in the AA.</v>
      </c>
      <c r="D125" s="1185">
        <f>F!D126</f>
        <v>0</v>
      </c>
      <c r="E125" s="1174">
        <v>4</v>
      </c>
      <c r="F125" s="1174">
        <f t="shared" si="7"/>
        <v>0</v>
      </c>
      <c r="G125" s="1177"/>
      <c r="H125" s="2215"/>
      <c r="I125" s="2191"/>
    </row>
    <row r="126" spans="1:9" ht="27" customHeight="1" thickBot="1" x14ac:dyDescent="0.25">
      <c r="A126" s="2231"/>
      <c r="B126" s="2215"/>
      <c r="C126" s="1209" t="str">
        <f>F!C127</f>
        <v>99-100%. AND there is no persistently ponded water body larger than 1 ha within the AA. Enter "1" and SKIP to F42 (Channel Connection).</v>
      </c>
      <c r="D126" s="1185">
        <f>F!D127</f>
        <v>0</v>
      </c>
      <c r="E126" s="1183">
        <v>5</v>
      </c>
      <c r="F126" s="1183">
        <f t="shared" si="7"/>
        <v>0</v>
      </c>
      <c r="G126" s="1184"/>
      <c r="H126" s="2215"/>
      <c r="I126" s="2192"/>
    </row>
    <row r="127" spans="1:9" ht="30" customHeight="1" thickBot="1" x14ac:dyDescent="0.25">
      <c r="A127" s="2222" t="str">
        <f>F!A153</f>
        <v>F29</v>
      </c>
      <c r="B127" s="2211" t="str">
        <f>F!B153</f>
        <v>Predominant Depth Class</v>
      </c>
      <c r="C127" s="1165" t="str">
        <f>F!C153</f>
        <v>During most of the time when surface water is present during the growing season, its depth, averaged over the entire inundated part of the AA, is:</v>
      </c>
      <c r="D127" s="1167"/>
      <c r="E127" s="1167"/>
      <c r="F127" s="1168"/>
      <c r="G127" s="1169">
        <f>IF((AllSat1&gt;0),"",(MAX(F128:F132))/MAX(E128:E132))</f>
        <v>0</v>
      </c>
      <c r="H127" s="2214" t="s">
        <v>2521</v>
      </c>
      <c r="I127" s="2190" t="s">
        <v>551</v>
      </c>
    </row>
    <row r="128" spans="1:9" ht="15" customHeight="1" x14ac:dyDescent="0.2">
      <c r="A128" s="2223"/>
      <c r="B128" s="2212"/>
      <c r="C128" s="1171" t="str">
        <f>F!C154</f>
        <v>&lt;10 cm deep (but &gt;0).</v>
      </c>
      <c r="D128" s="1185">
        <f>F!D154</f>
        <v>0</v>
      </c>
      <c r="E128" s="1186">
        <v>4</v>
      </c>
      <c r="F128" s="1174">
        <f>D128*E128</f>
        <v>0</v>
      </c>
      <c r="G128" s="1175"/>
      <c r="H128" s="2215"/>
      <c r="I128" s="2191"/>
    </row>
    <row r="129" spans="1:9" ht="15" customHeight="1" x14ac:dyDescent="0.2">
      <c r="A129" s="2223"/>
      <c r="B129" s="2212"/>
      <c r="C129" s="1176" t="str">
        <f>F!C155</f>
        <v>10 - 50 cm deep.</v>
      </c>
      <c r="D129" s="1172">
        <f>F!D155</f>
        <v>0</v>
      </c>
      <c r="E129" s="1186">
        <v>3</v>
      </c>
      <c r="F129" s="1174">
        <f>D129*E129</f>
        <v>0</v>
      </c>
      <c r="G129" s="1177"/>
      <c r="H129" s="2215"/>
      <c r="I129" s="2191"/>
    </row>
    <row r="130" spans="1:9" ht="15" customHeight="1" x14ac:dyDescent="0.2">
      <c r="A130" s="2223"/>
      <c r="B130" s="2212"/>
      <c r="C130" s="1176" t="str">
        <f>F!C156</f>
        <v>0.5 - 1 m deep.</v>
      </c>
      <c r="D130" s="1172">
        <f>F!D156</f>
        <v>0</v>
      </c>
      <c r="E130" s="1186">
        <v>2</v>
      </c>
      <c r="F130" s="1174">
        <f>D130*E130</f>
        <v>0</v>
      </c>
      <c r="G130" s="1177"/>
      <c r="H130" s="2215"/>
      <c r="I130" s="2191"/>
    </row>
    <row r="131" spans="1:9" ht="15" customHeight="1" x14ac:dyDescent="0.2">
      <c r="A131" s="2223"/>
      <c r="B131" s="2212"/>
      <c r="C131" s="1176" t="str">
        <f>F!C157</f>
        <v>1 - 2 m deep.</v>
      </c>
      <c r="D131" s="1172">
        <f>F!D157</f>
        <v>0</v>
      </c>
      <c r="E131" s="1186">
        <v>1</v>
      </c>
      <c r="F131" s="1174">
        <f>D131*E131</f>
        <v>0</v>
      </c>
      <c r="G131" s="1177"/>
      <c r="H131" s="2215"/>
      <c r="I131" s="2191"/>
    </row>
    <row r="132" spans="1:9" ht="15" customHeight="1" thickBot="1" x14ac:dyDescent="0.25">
      <c r="A132" s="2224"/>
      <c r="B132" s="2213"/>
      <c r="C132" s="1187" t="str">
        <f>F!C158</f>
        <v>&gt;2 m deep. True for many fringe wetlands.</v>
      </c>
      <c r="D132" s="1181">
        <f>F!D158</f>
        <v>0</v>
      </c>
      <c r="E132" s="1188">
        <v>0</v>
      </c>
      <c r="F132" s="1189">
        <f>D132*E132</f>
        <v>0</v>
      </c>
      <c r="G132" s="1190"/>
      <c r="H132" s="2216"/>
      <c r="I132" s="2192"/>
    </row>
    <row r="133" spans="1:9" ht="45" customHeight="1" thickBot="1" x14ac:dyDescent="0.25">
      <c r="A133" s="2225" t="str">
        <f>F!A163</f>
        <v>F31</v>
      </c>
      <c r="B133" s="2228" t="str">
        <f>F!B163</f>
        <v>% of Water That Is Ponded (not Flowing)</v>
      </c>
      <c r="C133" s="1165" t="str">
        <f>F!C163</f>
        <v>During most times when surface water is present, the percentage that is (1) ponded (stagnant, or flows so slowly that fine sediment is not held in suspension) AND (2) is likely to be deeper than 0.5 m in some places, is:</v>
      </c>
      <c r="D133" s="1167"/>
      <c r="E133" s="1167"/>
      <c r="F133" s="1168"/>
      <c r="G133" s="1169">
        <f>IF((AllSat1&gt;0),"",MAX(F134:F138)/MAX(E134:E138))</f>
        <v>0</v>
      </c>
      <c r="H133" s="2214" t="s">
        <v>2522</v>
      </c>
      <c r="I133" s="2190" t="s">
        <v>550</v>
      </c>
    </row>
    <row r="134" spans="1:9" ht="15" customHeight="1" x14ac:dyDescent="0.2">
      <c r="A134" s="2226"/>
      <c r="B134" s="2229"/>
      <c r="C134" s="1171" t="str">
        <f>F!C164</f>
        <v>&lt;5% of the water, or it occupies &lt;100 sq.m cumulatively. Nearly all the surface water is flowing. SKIP to F34.</v>
      </c>
      <c r="D134" s="1204">
        <f>F!D164</f>
        <v>0</v>
      </c>
      <c r="E134" s="1213">
        <v>1</v>
      </c>
      <c r="F134" s="1174">
        <f>D134*E134</f>
        <v>0</v>
      </c>
      <c r="G134" s="1177"/>
      <c r="H134" s="2215"/>
      <c r="I134" s="2191"/>
    </row>
    <row r="135" spans="1:9" ht="15" customHeight="1" x14ac:dyDescent="0.2">
      <c r="A135" s="2226"/>
      <c r="B135" s="2229"/>
      <c r="C135" s="1171" t="str">
        <f>F!C165</f>
        <v>5-30% of the water.</v>
      </c>
      <c r="D135" s="1204">
        <f>F!D165</f>
        <v>0</v>
      </c>
      <c r="E135" s="1213">
        <v>2</v>
      </c>
      <c r="F135" s="1174">
        <f>D135*E135</f>
        <v>0</v>
      </c>
      <c r="G135" s="1177"/>
      <c r="H135" s="2215"/>
      <c r="I135" s="2191"/>
    </row>
    <row r="136" spans="1:9" ht="15" customHeight="1" x14ac:dyDescent="0.2">
      <c r="A136" s="2226"/>
      <c r="B136" s="2229"/>
      <c r="C136" s="1171" t="str">
        <f>F!C166</f>
        <v>30-70% of the water.</v>
      </c>
      <c r="D136" s="1204">
        <f>F!D166</f>
        <v>0</v>
      </c>
      <c r="E136" s="1213">
        <v>3</v>
      </c>
      <c r="F136" s="1174">
        <f>D136*E136</f>
        <v>0</v>
      </c>
      <c r="G136" s="1177"/>
      <c r="H136" s="2215"/>
      <c r="I136" s="2191"/>
    </row>
    <row r="137" spans="1:9" ht="15" customHeight="1" x14ac:dyDescent="0.2">
      <c r="A137" s="2226"/>
      <c r="B137" s="2229"/>
      <c r="C137" s="1171" t="str">
        <f>F!C167</f>
        <v>70-95% of the water.</v>
      </c>
      <c r="D137" s="1204">
        <f>F!D167</f>
        <v>0</v>
      </c>
      <c r="E137" s="1213">
        <v>4</v>
      </c>
      <c r="F137" s="1174">
        <f>D137*E137</f>
        <v>0</v>
      </c>
      <c r="G137" s="1177"/>
      <c r="H137" s="2215"/>
      <c r="I137" s="2191"/>
    </row>
    <row r="138" spans="1:9" ht="15" customHeight="1" thickBot="1" x14ac:dyDescent="0.25">
      <c r="A138" s="2227"/>
      <c r="B138" s="2230"/>
      <c r="C138" s="1231" t="str">
        <f>F!C168</f>
        <v>&gt;95% of the water.</v>
      </c>
      <c r="D138" s="1237">
        <f>F!D168</f>
        <v>0</v>
      </c>
      <c r="E138" s="1214">
        <v>5</v>
      </c>
      <c r="F138" s="1189">
        <f>D138*E138</f>
        <v>0</v>
      </c>
      <c r="G138" s="1190"/>
      <c r="H138" s="2216"/>
      <c r="I138" s="2192"/>
    </row>
    <row r="139" spans="1:9" ht="57" customHeight="1" thickBot="1" x14ac:dyDescent="0.25">
      <c r="A139" s="2222" t="str">
        <f>F!A177</f>
        <v>F34</v>
      </c>
      <c r="B139" s="2211" t="str">
        <f>F!B177</f>
        <v>Width of Vegetated Zone within Wetland</v>
      </c>
      <c r="C139" s="1165" t="str">
        <f>F!C177</f>
        <v>At the time during the growing season when the AA's water level is lowest, the average width of vegetated area in the AA that separates adjoining uplands from open water within the AA is:</v>
      </c>
      <c r="D139" s="1167"/>
      <c r="E139" s="1167"/>
      <c r="F139" s="1168"/>
      <c r="G139" s="1169">
        <f>IF((AllSat1&gt;0),"",IF((NoOpenPonded=1),"",MAX(F140:F145)/MAX(E140:E145)))</f>
        <v>0</v>
      </c>
      <c r="H139" s="2214" t="s">
        <v>2523</v>
      </c>
      <c r="I139" s="2190" t="s">
        <v>552</v>
      </c>
    </row>
    <row r="140" spans="1:9" ht="30" customHeight="1" x14ac:dyDescent="0.2">
      <c r="A140" s="2223"/>
      <c r="B140" s="2212"/>
      <c r="C140" s="1171" t="str">
        <f>F!C178</f>
        <v>&lt;1 m.</v>
      </c>
      <c r="D140" s="1185">
        <f>F!D178</f>
        <v>0</v>
      </c>
      <c r="E140" s="1186">
        <v>6</v>
      </c>
      <c r="F140" s="1174">
        <f t="shared" ref="F140:F145" si="8">D140*E140</f>
        <v>0</v>
      </c>
      <c r="G140" s="1175"/>
      <c r="H140" s="2215"/>
      <c r="I140" s="2191"/>
    </row>
    <row r="141" spans="1:9" ht="30" customHeight="1" x14ac:dyDescent="0.2">
      <c r="A141" s="2223"/>
      <c r="B141" s="2212"/>
      <c r="C141" s="1176" t="str">
        <f>F!C179</f>
        <v>1 - 9 m.</v>
      </c>
      <c r="D141" s="1172">
        <f>F!D179</f>
        <v>0</v>
      </c>
      <c r="E141" s="1186">
        <v>4</v>
      </c>
      <c r="F141" s="1174">
        <f t="shared" si="8"/>
        <v>0</v>
      </c>
      <c r="G141" s="1177"/>
      <c r="H141" s="2215"/>
      <c r="I141" s="2191"/>
    </row>
    <row r="142" spans="1:9" ht="30" customHeight="1" x14ac:dyDescent="0.2">
      <c r="A142" s="2223"/>
      <c r="B142" s="2212"/>
      <c r="C142" s="1176" t="str">
        <f>F!C180</f>
        <v>10 - 29 m.</v>
      </c>
      <c r="D142" s="1172">
        <f>F!D180</f>
        <v>0</v>
      </c>
      <c r="E142" s="1186">
        <v>3</v>
      </c>
      <c r="F142" s="1174">
        <f t="shared" si="8"/>
        <v>0</v>
      </c>
      <c r="G142" s="1177"/>
      <c r="H142" s="2215"/>
      <c r="I142" s="2191"/>
    </row>
    <row r="143" spans="1:9" ht="30" customHeight="1" x14ac:dyDescent="0.2">
      <c r="A143" s="2223"/>
      <c r="B143" s="2212"/>
      <c r="C143" s="1176" t="str">
        <f>F!C181</f>
        <v>30 - 49 m.</v>
      </c>
      <c r="D143" s="1172">
        <f>F!D181</f>
        <v>0</v>
      </c>
      <c r="E143" s="1186">
        <v>2</v>
      </c>
      <c r="F143" s="1174">
        <f t="shared" si="8"/>
        <v>0</v>
      </c>
      <c r="G143" s="1177"/>
      <c r="H143" s="2215"/>
      <c r="I143" s="2191"/>
    </row>
    <row r="144" spans="1:9" ht="30" customHeight="1" x14ac:dyDescent="0.2">
      <c r="A144" s="2223"/>
      <c r="B144" s="2212"/>
      <c r="C144" s="1176" t="str">
        <f>F!C182</f>
        <v>50 - 100 m.</v>
      </c>
      <c r="D144" s="1172">
        <f>F!D182</f>
        <v>0</v>
      </c>
      <c r="E144" s="1186">
        <v>1</v>
      </c>
      <c r="F144" s="1174">
        <f t="shared" si="8"/>
        <v>0</v>
      </c>
      <c r="G144" s="1177"/>
      <c r="H144" s="2215"/>
      <c r="I144" s="2191"/>
    </row>
    <row r="145" spans="1:9" ht="30" customHeight="1" thickBot="1" x14ac:dyDescent="0.25">
      <c r="A145" s="2224"/>
      <c r="B145" s="2213"/>
      <c r="C145" s="1187" t="str">
        <f>F!C183</f>
        <v>&gt; 100 m, or open water is absent at that time.</v>
      </c>
      <c r="D145" s="1181">
        <f>F!D183</f>
        <v>0</v>
      </c>
      <c r="E145" s="1188">
        <v>0</v>
      </c>
      <c r="F145" s="1189">
        <f t="shared" si="8"/>
        <v>0</v>
      </c>
      <c r="G145" s="1190"/>
      <c r="H145" s="2216"/>
      <c r="I145" s="2192"/>
    </row>
    <row r="146" spans="1:9" ht="68.25" customHeight="1" thickBot="1" x14ac:dyDescent="0.25">
      <c r="A146" s="2240" t="str">
        <f>F!A206</f>
        <v>F42</v>
      </c>
      <c r="B146" s="2212" t="str">
        <f>F!B206</f>
        <v>Channel Connection &amp; Outflow Duration</v>
      </c>
      <c r="C146" s="1215" t="str">
        <f>F!C206</f>
        <v>The most persistent surface water connection (outlet channel or pipe, ditch, or overbank water exchange) between the AA and a downslope stream network is: [Note: If the AA represents only part of a wetland, answer this according to whichever is the least permanent surface connection: the one between the AA and the rest of the wetland, or the surface connection between the wetland and the downslope stream network.]</v>
      </c>
      <c r="D146" s="1216"/>
      <c r="E146" s="1216"/>
      <c r="F146" s="1217"/>
      <c r="G146" s="1218">
        <f>MAX(F147:F151)/MAX(E147:E151)</f>
        <v>0</v>
      </c>
      <c r="H146" s="2215" t="s">
        <v>1486</v>
      </c>
      <c r="I146" s="2190" t="s">
        <v>553</v>
      </c>
    </row>
    <row r="147" spans="1:9" ht="15" customHeight="1" x14ac:dyDescent="0.2">
      <c r="A147" s="2240"/>
      <c r="B147" s="2212"/>
      <c r="C147" s="1171" t="str">
        <f>F!C207</f>
        <v>Persistent (surface water flows out for &gt;9 months/year).</v>
      </c>
      <c r="D147" s="1185">
        <f>F!D207</f>
        <v>0</v>
      </c>
      <c r="E147" s="1186">
        <v>0</v>
      </c>
      <c r="F147" s="1174">
        <f>D147*E147</f>
        <v>0</v>
      </c>
      <c r="G147" s="1175"/>
      <c r="H147" s="2215"/>
      <c r="I147" s="2191"/>
    </row>
    <row r="148" spans="1:9" ht="15" customHeight="1" x14ac:dyDescent="0.2">
      <c r="A148" s="2240"/>
      <c r="B148" s="2212"/>
      <c r="C148" s="1176" t="str">
        <f>F!C208</f>
        <v>Seasonal (surface water flows out for 14 days to 9 months/year, not necessarily consecutive).</v>
      </c>
      <c r="D148" s="1172">
        <f>F!D208</f>
        <v>0</v>
      </c>
      <c r="E148" s="1186">
        <v>1</v>
      </c>
      <c r="F148" s="1174">
        <f>D148*E148</f>
        <v>0</v>
      </c>
      <c r="G148" s="1177"/>
      <c r="H148" s="2215"/>
      <c r="I148" s="2191"/>
    </row>
    <row r="149" spans="1:9" ht="15" customHeight="1" x14ac:dyDescent="0.2">
      <c r="A149" s="2240"/>
      <c r="B149" s="2212"/>
      <c r="C149" s="1176" t="str">
        <f>F!C209</f>
        <v>Temporary (surface water flows out for &lt;14 days, not necessarily consecutive).</v>
      </c>
      <c r="D149" s="1172">
        <f>F!D209</f>
        <v>0</v>
      </c>
      <c r="E149" s="1186">
        <v>2</v>
      </c>
      <c r="F149" s="1174">
        <f>D149*E149</f>
        <v>0</v>
      </c>
      <c r="G149" s="1177"/>
      <c r="H149" s="2215"/>
      <c r="I149" s="2191"/>
    </row>
    <row r="150" spans="1:9" ht="27" customHeight="1" x14ac:dyDescent="0.2">
      <c r="A150" s="2240"/>
      <c r="B150" s="2212"/>
      <c r="C150" s="1176" t="str">
        <f>F!C210</f>
        <v>None -- but maps show a stream network downslope from the AA and within a distance that is less than the AA's length. SKIP to F47 (pH Measurement).</v>
      </c>
      <c r="D150" s="1172">
        <f>F!D210</f>
        <v>0</v>
      </c>
      <c r="E150" s="1173">
        <v>4</v>
      </c>
      <c r="F150" s="1174">
        <f>D150*E150</f>
        <v>0</v>
      </c>
      <c r="G150" s="1184"/>
      <c r="H150" s="2215"/>
      <c r="I150" s="2191"/>
    </row>
    <row r="151" spans="1:9" ht="27" customHeight="1" thickBot="1" x14ac:dyDescent="0.25">
      <c r="A151" s="2240"/>
      <c r="B151" s="2212"/>
      <c r="C151" s="1219" t="str">
        <f>F!C211</f>
        <v>No surface water flows out of the wetland except possibly during extreme events (&lt;once per 10 years). Or, water flows only into a wetland, ditch, or lake that lacks an outlet. SKIP to F47 (pH Measurement).</v>
      </c>
      <c r="D151" s="1179">
        <f>F!D211</f>
        <v>0</v>
      </c>
      <c r="E151" s="1182">
        <v>5</v>
      </c>
      <c r="F151" s="1183">
        <f>D151*E151</f>
        <v>0</v>
      </c>
      <c r="G151" s="1184"/>
      <c r="H151" s="2215"/>
      <c r="I151" s="2192"/>
    </row>
    <row r="152" spans="1:9" ht="30" customHeight="1" thickBot="1" x14ac:dyDescent="0.25">
      <c r="A152" s="2217" t="str">
        <f>F!A212</f>
        <v>F43</v>
      </c>
      <c r="B152" s="2214" t="str">
        <f>F!B212</f>
        <v xml:space="preserve">Outflow Confinement </v>
      </c>
      <c r="C152" s="1165" t="str">
        <f>F!C212</f>
        <v>During major runoff events, in the places where surface water exits the AA or connected waters nearby, the water:</v>
      </c>
      <c r="D152" s="1167"/>
      <c r="E152" s="1167"/>
      <c r="F152" s="1168"/>
      <c r="G152" s="1169">
        <f>IF((OutNone + OutNone1&gt;0),"",MAX(F153:F155)/MAX(E153:E155))</f>
        <v>0</v>
      </c>
      <c r="H152" s="1669" t="s">
        <v>2605</v>
      </c>
      <c r="I152" s="2190" t="s">
        <v>554</v>
      </c>
    </row>
    <row r="153" spans="1:9" ht="42" customHeight="1" x14ac:dyDescent="0.2">
      <c r="A153" s="2218"/>
      <c r="B153" s="2215"/>
      <c r="C153" s="1171" t="str">
        <f>F!C213</f>
        <v>Mostly passes through a pipe, culvert, narrowly breached dike, berm, beaver dam, or other partial obstruction (other than natural topography) that does not appear to drain the wetland artificially during most of the growing season.</v>
      </c>
      <c r="D153" s="1185">
        <f>F!D213</f>
        <v>0</v>
      </c>
      <c r="E153" s="1186">
        <v>2</v>
      </c>
      <c r="F153" s="1238">
        <f>D153*E153</f>
        <v>0</v>
      </c>
      <c r="G153" s="1175"/>
      <c r="H153" s="2215"/>
      <c r="I153" s="2191"/>
    </row>
    <row r="154" spans="1:9" ht="25.5" customHeight="1" x14ac:dyDescent="0.2">
      <c r="A154" s="2218"/>
      <c r="B154" s="2215"/>
      <c r="C154" s="1176" t="str">
        <f>F!C214</f>
        <v>Leaves through natural exits (channels or diffuse outflow), not mainly through artificial or temporary features.</v>
      </c>
      <c r="D154" s="1172">
        <f>F!D214</f>
        <v>0</v>
      </c>
      <c r="E154" s="1186">
        <v>0</v>
      </c>
      <c r="F154" s="1238">
        <f>D154*E154</f>
        <v>0</v>
      </c>
      <c r="G154" s="1177"/>
      <c r="H154" s="2215"/>
      <c r="I154" s="2191"/>
    </row>
    <row r="155" spans="1:9" ht="27" customHeight="1" thickBot="1" x14ac:dyDescent="0.25">
      <c r="A155" s="2219"/>
      <c r="B155" s="2216"/>
      <c r="C155" s="1187" t="str">
        <f>F!C215</f>
        <v>Is exported more quickly than usual due to ditches or pipes within the AA or connected to its outlet, or within 10 m of the AA's edge, which drain the wetland artificially, or water is pumped out of the AA.</v>
      </c>
      <c r="D155" s="1181">
        <f>F!D215</f>
        <v>0</v>
      </c>
      <c r="E155" s="1188">
        <v>1</v>
      </c>
      <c r="F155" s="1189">
        <f>D155*E155</f>
        <v>0</v>
      </c>
      <c r="G155" s="1190"/>
      <c r="H155" s="2216"/>
      <c r="I155" s="2192"/>
    </row>
    <row r="156" spans="1:9" ht="21" customHeight="1" thickBot="1" x14ac:dyDescent="0.25">
      <c r="A156" s="2214" t="str">
        <f>F!A224</f>
        <v>F47</v>
      </c>
      <c r="B156" s="2214" t="str">
        <f>F!B224</f>
        <v>pH Measurement</v>
      </c>
      <c r="C156" s="1208" t="str">
        <f>F!C224</f>
        <v>The pH in most of the AA's surface water:</v>
      </c>
      <c r="D156" s="1361"/>
      <c r="E156" s="1199"/>
      <c r="F156" s="1168"/>
      <c r="G156" s="1169" t="str">
        <f>IF((D159=1),"",IF((D158=1),1,IF((D157&gt;0&lt;5),1, "")))</f>
        <v/>
      </c>
      <c r="H156" s="1710" t="s">
        <v>2604</v>
      </c>
      <c r="I156" s="2190" t="s">
        <v>1684</v>
      </c>
    </row>
    <row r="157" spans="1:9" ht="15" customHeight="1" thickBot="1" x14ac:dyDescent="0.25">
      <c r="A157" s="2215"/>
      <c r="B157" s="2215"/>
      <c r="C157" s="1468" t="str">
        <f>F!C225</f>
        <v>Was measured, and is:  [enter the reading in the column to the right.]</v>
      </c>
      <c r="D157" s="1465" t="str">
        <f>IF((F!D225=""),"",F!D225)</f>
        <v/>
      </c>
      <c r="E157" s="1173"/>
      <c r="F157" s="1174"/>
      <c r="G157" s="1240"/>
      <c r="H157" s="2232"/>
      <c r="I157" s="2191"/>
    </row>
    <row r="158" spans="1:9" ht="39" customHeight="1" x14ac:dyDescent="0.2">
      <c r="A158" s="2215"/>
      <c r="B158" s="2215"/>
      <c r="C158" s="1470" t="str">
        <f>F!C226</f>
        <v xml:space="preserve">Was not measured but surface water is present and is darkly tea-coloured.  Or if no surface water, then mosses and plants that indicate peatland (e.g., Labrador tea) are prevalent. Enter "1". </v>
      </c>
      <c r="D158" s="1185">
        <f>F!D226</f>
        <v>0</v>
      </c>
      <c r="E158" s="1173"/>
      <c r="F158" s="1174"/>
      <c r="G158" s="1241"/>
      <c r="H158" s="2232"/>
      <c r="I158" s="2191"/>
    </row>
    <row r="159" spans="1:9" ht="15" customHeight="1" thickBot="1" x14ac:dyDescent="0.25">
      <c r="A159" s="2216"/>
      <c r="B159" s="2216"/>
      <c r="C159" s="1472" t="str">
        <f>F!C227</f>
        <v>Neither of above. Enter "1".</v>
      </c>
      <c r="D159" s="1179">
        <f>F!D227</f>
        <v>0</v>
      </c>
      <c r="E159" s="1182"/>
      <c r="F159" s="1183"/>
      <c r="G159" s="1242"/>
      <c r="H159" s="2232"/>
      <c r="I159" s="2192"/>
    </row>
    <row r="160" spans="1:9" ht="30" customHeight="1" thickBot="1" x14ac:dyDescent="0.25">
      <c r="A160" s="2214" t="str">
        <f>F!A228</f>
        <v>F48</v>
      </c>
      <c r="B160" s="2214" t="str">
        <f>F!B228</f>
        <v>TDS and/or Conductivity</v>
      </c>
      <c r="C160" s="1208" t="str">
        <f>F!C228</f>
        <v>The TDS (total dissolved solids) or conductivity off the AA's surface water is: (select the first true row with information):</v>
      </c>
      <c r="D160" s="1361"/>
      <c r="E160" s="1198"/>
      <c r="F160" s="1168"/>
      <c r="G160" s="1169" t="str">
        <f>IF((D164=1),"",IF((D163=1),1,IF((D161&lt;300),1, IF((D162&lt;600),1, ""))))</f>
        <v/>
      </c>
      <c r="H160" s="1710" t="s">
        <v>2606</v>
      </c>
      <c r="I160" s="2190" t="s">
        <v>1685</v>
      </c>
    </row>
    <row r="161" spans="1:9" ht="15" customHeight="1" thickBot="1" x14ac:dyDescent="0.25">
      <c r="A161" s="2215"/>
      <c r="B161" s="2215"/>
      <c r="C161" s="1468" t="str">
        <f>F!C229</f>
        <v>TDS is: [Enter the reading in ppm or mg/L in the column to the right, if measured, or answer next row.]</v>
      </c>
      <c r="D161" s="1466" t="str">
        <f>IF((F!D229=""),"",F!D229)</f>
        <v/>
      </c>
      <c r="E161" s="1173"/>
      <c r="F161" s="1174"/>
      <c r="G161" s="1240"/>
      <c r="H161" s="2232"/>
      <c r="I161" s="2191"/>
    </row>
    <row r="162" spans="1:9" ht="15" customHeight="1" thickBot="1" x14ac:dyDescent="0.25">
      <c r="A162" s="2215"/>
      <c r="B162" s="2215"/>
      <c r="C162" s="1469" t="str">
        <f>F!C230</f>
        <v>Conductivity is  [Enter the reading in µS/cm in the column to the right.]</v>
      </c>
      <c r="D162" s="1466" t="str">
        <f>IF((F!D230=""),"",F!D230)</f>
        <v/>
      </c>
      <c r="E162" s="1173"/>
      <c r="F162" s="1174"/>
      <c r="G162" s="1241"/>
      <c r="H162" s="2232"/>
      <c r="I162" s="2191"/>
    </row>
    <row r="163" spans="1:9" ht="15" customHeight="1" x14ac:dyDescent="0.2">
      <c r="A163" s="2215"/>
      <c r="B163" s="2215"/>
      <c r="C163" s="1470" t="str">
        <f>F!C231</f>
        <v>Was not measured, but plants that indicate saline conditions cover much of the vegetated AA. Enter "1".</v>
      </c>
      <c r="D163" s="1185">
        <f>F!D231</f>
        <v>0</v>
      </c>
      <c r="E163" s="1173"/>
      <c r="F163" s="1174"/>
      <c r="G163" s="1241"/>
      <c r="H163" s="2232"/>
      <c r="I163" s="2191"/>
    </row>
    <row r="164" spans="1:9" ht="15" customHeight="1" thickBot="1" x14ac:dyDescent="0.25">
      <c r="A164" s="2216"/>
      <c r="B164" s="2216"/>
      <c r="C164" s="1471" t="str">
        <f>F!C232</f>
        <v>Neither of above</v>
      </c>
      <c r="D164" s="1181">
        <f>F!D232</f>
        <v>0</v>
      </c>
      <c r="E164" s="1207"/>
      <c r="F164" s="1189"/>
      <c r="G164" s="1243"/>
      <c r="H164" s="2233"/>
      <c r="I164" s="2192"/>
    </row>
    <row r="165" spans="1:9" ht="21" customHeight="1" thickBot="1" x14ac:dyDescent="0.25">
      <c r="A165" s="2214" t="str">
        <f>F!A233</f>
        <v>F49</v>
      </c>
      <c r="B165" s="2215" t="str">
        <f>F!B233</f>
        <v>Beaver Probability</v>
      </c>
      <c r="C165" s="1215" t="str">
        <f>F!C233</f>
        <v>Use of the AA by beaver during the past 5 years is (select most applicable ONE):</v>
      </c>
      <c r="D165" s="1216"/>
      <c r="E165" s="1216"/>
      <c r="F165" s="1217"/>
      <c r="G165" s="1218">
        <f>MAX(F166:F168)/MAX(E166:E168)</f>
        <v>0</v>
      </c>
      <c r="H165" s="2215" t="s">
        <v>547</v>
      </c>
      <c r="I165" s="2190" t="s">
        <v>563</v>
      </c>
    </row>
    <row r="166" spans="1:9" ht="27" customHeight="1" x14ac:dyDescent="0.2">
      <c r="A166" s="2215"/>
      <c r="B166" s="2215"/>
      <c r="C166" s="1171" t="str">
        <f>F!C234</f>
        <v>Evident from direct observation or presence of gnawed limbs, dams, tracks, dens, lodges, or extensive stands of water-killed trees (snags).</v>
      </c>
      <c r="D166" s="1185">
        <f>F!D234</f>
        <v>0</v>
      </c>
      <c r="E166" s="1213">
        <v>3</v>
      </c>
      <c r="F166" s="1183">
        <f>D166*E166</f>
        <v>0</v>
      </c>
      <c r="G166" s="1175"/>
      <c r="H166" s="2215"/>
      <c r="I166" s="2191"/>
    </row>
    <row r="167" spans="1:9" ht="42" customHeight="1" x14ac:dyDescent="0.2">
      <c r="A167" s="2215"/>
      <c r="B167" s="2215"/>
      <c r="C167" s="1176" t="str">
        <f>F!C235</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167" s="1172">
        <f>F!D235</f>
        <v>0</v>
      </c>
      <c r="E167" s="1213">
        <v>2</v>
      </c>
      <c r="F167" s="1183">
        <f>D167*E167</f>
        <v>0</v>
      </c>
      <c r="G167" s="1177"/>
      <c r="H167" s="2215"/>
      <c r="I167" s="2191"/>
    </row>
    <row r="168" spans="1:9" ht="27" customHeight="1" thickBot="1" x14ac:dyDescent="0.25">
      <c r="A168" s="2216"/>
      <c r="B168" s="2216"/>
      <c r="C168" s="1187" t="str">
        <f>F!C236</f>
        <v xml:space="preserve">Unlikely because site characteristics above are deficient, and/or this is a settled area or other area where beaver are routinely removed. </v>
      </c>
      <c r="D168" s="1181">
        <f>F!D236</f>
        <v>0</v>
      </c>
      <c r="E168" s="1214">
        <v>0</v>
      </c>
      <c r="F168" s="1189">
        <f>D168*E168</f>
        <v>0</v>
      </c>
      <c r="G168" s="1190"/>
      <c r="H168" s="2216"/>
      <c r="I168" s="2192"/>
    </row>
    <row r="169" spans="1:9" ht="45.6" customHeight="1" thickBot="1" x14ac:dyDescent="0.25">
      <c r="A169" s="2211" t="str">
        <f>F!A247</f>
        <v>F52</v>
      </c>
      <c r="B169" s="2211" t="str">
        <f>F!B247</f>
        <v>Vegetated Buffer as % of Perimeter</v>
      </c>
      <c r="C169" s="1197" t="str">
        <f>F!C247</f>
        <v>Within a zone extending 30 m laterally from the AA's edge with upland and/or other wetlands, the percentage that contains perennial vegetation cover (except lawns, row crops, heavily grazed land, conifer plantations) is:</v>
      </c>
      <c r="D169" s="1244"/>
      <c r="E169" s="1221"/>
      <c r="F169" s="1168"/>
      <c r="G169" s="1169">
        <f>MAX(F170:F174)/MAX(E170:E174)</f>
        <v>0</v>
      </c>
      <c r="H169" s="2214" t="s">
        <v>1489</v>
      </c>
      <c r="I169" s="2190" t="s">
        <v>564</v>
      </c>
    </row>
    <row r="170" spans="1:9" ht="15" customHeight="1" x14ac:dyDescent="0.2">
      <c r="A170" s="2212"/>
      <c r="B170" s="2212"/>
      <c r="C170" s="1171" t="str">
        <f>F!C248</f>
        <v>&lt;5%.</v>
      </c>
      <c r="D170" s="1178">
        <f>F!D248</f>
        <v>0</v>
      </c>
      <c r="E170" s="1173">
        <v>0</v>
      </c>
      <c r="F170" s="1174">
        <f>D170*E170</f>
        <v>0</v>
      </c>
      <c r="G170" s="1175"/>
      <c r="H170" s="2215"/>
      <c r="I170" s="2191"/>
    </row>
    <row r="171" spans="1:9" ht="15" customHeight="1" x14ac:dyDescent="0.2">
      <c r="A171" s="2212"/>
      <c r="B171" s="2212"/>
      <c r="C171" s="1176" t="str">
        <f>F!C249</f>
        <v>5 to 30%.</v>
      </c>
      <c r="D171" s="1172">
        <f>F!D249</f>
        <v>0</v>
      </c>
      <c r="E171" s="1173">
        <v>2</v>
      </c>
      <c r="F171" s="1174">
        <f>D171*E171</f>
        <v>0</v>
      </c>
      <c r="G171" s="1177"/>
      <c r="H171" s="2215"/>
      <c r="I171" s="2191"/>
    </row>
    <row r="172" spans="1:9" ht="15" customHeight="1" x14ac:dyDescent="0.2">
      <c r="A172" s="2212"/>
      <c r="B172" s="2212"/>
      <c r="C172" s="1176" t="str">
        <f>F!C250</f>
        <v>30 to 60%.</v>
      </c>
      <c r="D172" s="1178">
        <f>F!D250</f>
        <v>0</v>
      </c>
      <c r="E172" s="1173">
        <v>3</v>
      </c>
      <c r="F172" s="1174">
        <f>D172*E172</f>
        <v>0</v>
      </c>
      <c r="G172" s="1177"/>
      <c r="H172" s="2215"/>
      <c r="I172" s="2191"/>
    </row>
    <row r="173" spans="1:9" ht="15" customHeight="1" x14ac:dyDescent="0.2">
      <c r="A173" s="2212"/>
      <c r="B173" s="2212"/>
      <c r="C173" s="1176" t="str">
        <f>F!C251</f>
        <v>60 to 90%.</v>
      </c>
      <c r="D173" s="1172">
        <f>F!D251</f>
        <v>0</v>
      </c>
      <c r="E173" s="1173">
        <v>4</v>
      </c>
      <c r="F173" s="1174">
        <f>D173*E173</f>
        <v>0</v>
      </c>
      <c r="G173" s="1177"/>
      <c r="H173" s="2215"/>
      <c r="I173" s="2191"/>
    </row>
    <row r="174" spans="1:9" ht="15" customHeight="1" thickBot="1" x14ac:dyDescent="0.25">
      <c r="A174" s="2213"/>
      <c r="B174" s="2213"/>
      <c r="C174" s="1180" t="str">
        <f>F!C252</f>
        <v>&gt;90%, or all the area within 30 m of the AA edge is other wetlands. SKIP to F55.</v>
      </c>
      <c r="D174" s="1181">
        <f>F!D252</f>
        <v>0</v>
      </c>
      <c r="E174" s="1207">
        <v>6</v>
      </c>
      <c r="F174" s="1189">
        <f>D174*E174</f>
        <v>0</v>
      </c>
      <c r="G174" s="1190"/>
      <c r="H174" s="2216"/>
      <c r="I174" s="2192"/>
    </row>
    <row r="175" spans="1:9" ht="30" customHeight="1" thickBot="1" x14ac:dyDescent="0.25">
      <c r="A175" s="2211" t="str">
        <f>F!A256</f>
        <v>F54</v>
      </c>
      <c r="B175" s="2212" t="str">
        <f>F!B256</f>
        <v xml:space="preserve">Buffer Slope </v>
      </c>
      <c r="C175" s="1197" t="str">
        <f>F!C256</f>
        <v>The steepest and/or most disturbed part of the upland area that is within 30 m of the wetland and occupies &gt;10% of that upland area has a percent slope of:</v>
      </c>
      <c r="D175" s="1167"/>
      <c r="E175" s="1227"/>
      <c r="F175" s="1217"/>
      <c r="G175" s="1218">
        <f>MAX(F176:F179)/MAX(E176:E179)</f>
        <v>0</v>
      </c>
      <c r="H175" s="2237" t="s">
        <v>1490</v>
      </c>
      <c r="I175" s="2190" t="s">
        <v>565</v>
      </c>
    </row>
    <row r="176" spans="1:9" ht="15" customHeight="1" x14ac:dyDescent="0.2">
      <c r="A176" s="2212"/>
      <c r="B176" s="2212"/>
      <c r="C176" s="1171" t="str">
        <f>F!C257</f>
        <v>&lt;1% (flat -- almost no noticeable slope) or all the area within 30 m of the AA edge is other wetlands.</v>
      </c>
      <c r="D176" s="1178">
        <f>F!D257</f>
        <v>0</v>
      </c>
      <c r="E176" s="1173">
        <v>0</v>
      </c>
      <c r="F176" s="1174">
        <f>D176*E176</f>
        <v>0</v>
      </c>
      <c r="G176" s="1175"/>
      <c r="H176" s="2238"/>
      <c r="I176" s="2191"/>
    </row>
    <row r="177" spans="1:9" ht="15" customHeight="1" x14ac:dyDescent="0.2">
      <c r="A177" s="2212"/>
      <c r="B177" s="2212"/>
      <c r="C177" s="1176" t="str">
        <f>F!C258</f>
        <v>2-5%.</v>
      </c>
      <c r="D177" s="1172">
        <f>F!D258</f>
        <v>0</v>
      </c>
      <c r="E177" s="1173">
        <v>1</v>
      </c>
      <c r="F177" s="1174">
        <f>D177*E177</f>
        <v>0</v>
      </c>
      <c r="G177" s="1177"/>
      <c r="H177" s="2238"/>
      <c r="I177" s="2191"/>
    </row>
    <row r="178" spans="1:9" ht="15" customHeight="1" x14ac:dyDescent="0.2">
      <c r="A178" s="2212"/>
      <c r="B178" s="2212"/>
      <c r="C178" s="1176" t="str">
        <f>F!C259</f>
        <v>5-30%.</v>
      </c>
      <c r="D178" s="1172">
        <f>F!D259</f>
        <v>0</v>
      </c>
      <c r="E178" s="1173">
        <v>2</v>
      </c>
      <c r="F178" s="1174">
        <f>D178*E178</f>
        <v>0</v>
      </c>
      <c r="G178" s="1177"/>
      <c r="H178" s="2238"/>
      <c r="I178" s="2191"/>
    </row>
    <row r="179" spans="1:9" ht="15" customHeight="1" thickBot="1" x14ac:dyDescent="0.25">
      <c r="A179" s="2213"/>
      <c r="B179" s="2212"/>
      <c r="C179" s="1180" t="str">
        <f>F!C260</f>
        <v>&gt;30%.</v>
      </c>
      <c r="D179" s="1181">
        <f>F!D260</f>
        <v>0</v>
      </c>
      <c r="E179" s="1182">
        <v>5</v>
      </c>
      <c r="F179" s="1183">
        <f>D179*E179</f>
        <v>0</v>
      </c>
      <c r="G179" s="1184"/>
      <c r="H179" s="2239"/>
      <c r="I179" s="2192"/>
    </row>
    <row r="180" spans="1:9" ht="30" customHeight="1" thickBot="1" x14ac:dyDescent="0.25">
      <c r="A180" s="2214" t="str">
        <f>F!A262</f>
        <v>F56</v>
      </c>
      <c r="B180" s="2214" t="str">
        <f>F!B262</f>
        <v>New or Expanded Wetland</v>
      </c>
      <c r="C180" s="1165" t="str">
        <f>F!C262</f>
        <v>Human actions within or adjacent to the AA have persistently expanded a naturally occurring wetland or created a wetland where there previously was none (e.g., by excavation, impoundment):</v>
      </c>
      <c r="D180" s="1244"/>
      <c r="E180" s="1167"/>
      <c r="F180" s="1168"/>
      <c r="G180" s="1169">
        <f>IF((D186=1),"",MAX(F181:F185)/MAX(E181:E185))</f>
        <v>0</v>
      </c>
      <c r="H180" s="2214" t="s">
        <v>1355</v>
      </c>
      <c r="I180" s="2190" t="s">
        <v>282</v>
      </c>
    </row>
    <row r="181" spans="1:9" ht="15" customHeight="1" x14ac:dyDescent="0.2">
      <c r="A181" s="2215"/>
      <c r="B181" s="2215"/>
      <c r="C181" s="1191" t="str">
        <f>F!C263</f>
        <v>No.</v>
      </c>
      <c r="D181" s="1245">
        <f>F!D263</f>
        <v>0</v>
      </c>
      <c r="E181" s="1230">
        <v>0</v>
      </c>
      <c r="F181" s="1174">
        <f>D181*E181</f>
        <v>0</v>
      </c>
      <c r="G181" s="1175"/>
      <c r="H181" s="2215"/>
      <c r="I181" s="2191"/>
    </row>
    <row r="182" spans="1:9" ht="15" customHeight="1" x14ac:dyDescent="0.2">
      <c r="A182" s="2215"/>
      <c r="B182" s="2215"/>
      <c r="C182" s="1176" t="str">
        <f>F!C264</f>
        <v xml:space="preserve">Yes, and created or expanded 20 - 100 years ago. </v>
      </c>
      <c r="D182" s="1172">
        <f>F!D264</f>
        <v>0</v>
      </c>
      <c r="E182" s="1230">
        <v>1</v>
      </c>
      <c r="F182" s="1174">
        <f>D182*E182</f>
        <v>0</v>
      </c>
      <c r="G182" s="1177"/>
      <c r="H182" s="2215"/>
      <c r="I182" s="2191"/>
    </row>
    <row r="183" spans="1:9" ht="15" customHeight="1" x14ac:dyDescent="0.2">
      <c r="A183" s="2215"/>
      <c r="B183" s="2215"/>
      <c r="C183" s="1176" t="str">
        <f>F!C265</f>
        <v>Yes, and created or expanded 3-20 years ago.</v>
      </c>
      <c r="D183" s="1172">
        <f>F!D265</f>
        <v>0</v>
      </c>
      <c r="E183" s="1230">
        <v>2</v>
      </c>
      <c r="F183" s="1174">
        <f>D183*E183</f>
        <v>0</v>
      </c>
      <c r="G183" s="1177"/>
      <c r="H183" s="2215"/>
      <c r="I183" s="2191"/>
    </row>
    <row r="184" spans="1:9" ht="15" customHeight="1" x14ac:dyDescent="0.2">
      <c r="A184" s="2215"/>
      <c r="B184" s="2215"/>
      <c r="C184" s="1176" t="str">
        <f>F!C266</f>
        <v>Yes, and created or expanded within last 3 years.</v>
      </c>
      <c r="D184" s="1172">
        <f>F!D266</f>
        <v>0</v>
      </c>
      <c r="E184" s="1230">
        <v>3</v>
      </c>
      <c r="F184" s="1174">
        <f>D184*E184</f>
        <v>0</v>
      </c>
      <c r="G184" s="1177"/>
      <c r="H184" s="2215"/>
      <c r="I184" s="2191"/>
    </row>
    <row r="185" spans="1:9" ht="15" customHeight="1" x14ac:dyDescent="0.2">
      <c r="A185" s="2215"/>
      <c r="B185" s="2215"/>
      <c r="C185" s="1176" t="str">
        <f>F!C267</f>
        <v>Yes, but time of origin or expansion unknown.</v>
      </c>
      <c r="D185" s="1172">
        <f>F!D267</f>
        <v>0</v>
      </c>
      <c r="E185" s="1230">
        <v>1</v>
      </c>
      <c r="F185" s="1174">
        <f>D185*E185</f>
        <v>0</v>
      </c>
      <c r="G185" s="1177"/>
      <c r="H185" s="2215"/>
      <c r="I185" s="2191"/>
    </row>
    <row r="186" spans="1:9" ht="15" customHeight="1" thickBot="1" x14ac:dyDescent="0.25">
      <c r="A186" s="2216"/>
      <c r="B186" s="2216"/>
      <c r="C186" s="1187" t="str">
        <f>F!C268</f>
        <v>Unknown if new or expanded within 20 years or not.</v>
      </c>
      <c r="D186" s="1237">
        <f>F!D268</f>
        <v>0</v>
      </c>
      <c r="E186" s="1196"/>
      <c r="F186" s="1189"/>
      <c r="G186" s="1190"/>
      <c r="H186" s="2216"/>
      <c r="I186" s="2192"/>
    </row>
    <row r="187" spans="1:9" ht="21" customHeight="1" thickBot="1" x14ac:dyDescent="0.25">
      <c r="A187" s="2234"/>
      <c r="B187" s="2234"/>
      <c r="C187" s="2234"/>
      <c r="D187" s="2234"/>
      <c r="E187" s="2234"/>
      <c r="F187" s="2234"/>
      <c r="G187" s="2234"/>
      <c r="H187" s="2234"/>
      <c r="I187" s="1246"/>
    </row>
    <row r="188" spans="1:9" ht="30" customHeight="1" x14ac:dyDescent="0.2">
      <c r="A188" s="2235"/>
      <c r="B188" s="2235"/>
      <c r="C188" s="2205" t="s">
        <v>2441</v>
      </c>
      <c r="D188" s="2206"/>
      <c r="E188" s="2206"/>
      <c r="F188" s="2207"/>
      <c r="G188" s="1247">
        <f>AVERAGE((OutDura_S * AVERAGE(SatPct_S, CUratio_S, IsoDry_S, Depth_S, Constric_S)), AVERAGE(BuffSlope_S,SoilTex_S,Beaver_S))</f>
        <v>0</v>
      </c>
      <c r="H188" s="1248" t="s">
        <v>2381</v>
      </c>
      <c r="I188" s="1249" t="s">
        <v>286</v>
      </c>
    </row>
    <row r="189" spans="1:9" ht="30" customHeight="1" x14ac:dyDescent="0.2">
      <c r="A189" s="2235"/>
      <c r="B189" s="2235"/>
      <c r="C189" s="2208" t="s">
        <v>2442</v>
      </c>
      <c r="D189" s="2209"/>
      <c r="E189" s="2209"/>
      <c r="F189" s="2210"/>
      <c r="G189" s="1250">
        <f>AVERAGE((AVERAGE(VwidthAbs_S, WetSize_S, (AVERAGE(EmSens1_S, ShrubPattS, WoodySens2_S, Gcover_S, UpEdge_S)), RareSpp_S)))</f>
        <v>0</v>
      </c>
      <c r="H189" s="1251" t="s">
        <v>1323</v>
      </c>
      <c r="I189" s="1252" t="s">
        <v>287</v>
      </c>
    </row>
    <row r="190" spans="1:9" ht="21" customHeight="1" x14ac:dyDescent="0.2">
      <c r="A190" s="2235"/>
      <c r="B190" s="2235"/>
      <c r="C190" s="2208" t="s">
        <v>2443</v>
      </c>
      <c r="D190" s="2209"/>
      <c r="E190" s="2209"/>
      <c r="F190" s="2210"/>
      <c r="G190" s="1250">
        <f>AVERAGE(GDD_S,AVERAGE(WettypeS,NfixS,NewWet_S,AcidicS,ConductivS))</f>
        <v>0</v>
      </c>
      <c r="H190" s="1251" t="s">
        <v>2051</v>
      </c>
      <c r="I190" s="1252" t="s">
        <v>288</v>
      </c>
    </row>
    <row r="191" spans="1:9" s="1254" customFormat="1" ht="21" customHeight="1" x14ac:dyDescent="0.2">
      <c r="A191" s="2235"/>
      <c r="B191" s="2235"/>
      <c r="C191" s="2208" t="s">
        <v>2444</v>
      </c>
      <c r="D191" s="2209"/>
      <c r="E191" s="2209"/>
      <c r="F191" s="2210"/>
      <c r="G191" s="1250">
        <f>AVERAGE(Elev_S,HerbDom2, NatVegProx_S,NatVegSize_S,NatVegCUpct_S, VegPctScape_S,PondProx_S,LakeProx_S)</f>
        <v>0</v>
      </c>
      <c r="H191" s="1251" t="s">
        <v>2052</v>
      </c>
      <c r="I191" s="1253" t="s">
        <v>289</v>
      </c>
    </row>
    <row r="192" spans="1:9" ht="21" customHeight="1" thickBot="1" x14ac:dyDescent="0.25">
      <c r="A192" s="2235"/>
      <c r="B192" s="2235"/>
      <c r="C192" s="2202" t="s">
        <v>2445</v>
      </c>
      <c r="D192" s="2203"/>
      <c r="E192" s="2203"/>
      <c r="F192" s="2204"/>
      <c r="G192" s="1255">
        <f>IF((MAX(F!D18:D21)&gt;3),0,AVERAGE(TreeCovS,TreeDBHs))</f>
        <v>0</v>
      </c>
      <c r="H192" s="1256" t="s">
        <v>2053</v>
      </c>
      <c r="I192" s="1257" t="s">
        <v>290</v>
      </c>
    </row>
    <row r="193" spans="1:12" ht="21" customHeight="1" thickBot="1" x14ac:dyDescent="0.25">
      <c r="A193" s="2235"/>
      <c r="B193" s="2235"/>
      <c r="C193" s="2236"/>
      <c r="D193" s="2236"/>
      <c r="E193" s="2236"/>
      <c r="F193" s="2236"/>
      <c r="G193" s="2236"/>
      <c r="H193" s="2235"/>
      <c r="I193" s="1258"/>
    </row>
    <row r="194" spans="1:12" ht="30" customHeight="1" thickBot="1" x14ac:dyDescent="0.25">
      <c r="A194" s="2235"/>
      <c r="B194" s="2235"/>
      <c r="C194" s="2193" t="s">
        <v>71</v>
      </c>
      <c r="D194" s="2194"/>
      <c r="E194" s="2195"/>
      <c r="F194" s="915" t="s">
        <v>2882</v>
      </c>
      <c r="G194" s="1259">
        <f>10*AVERAGE(AbioSens,BioSens,Fertility,Colonizer,GrowthRate)</f>
        <v>0</v>
      </c>
      <c r="H194" s="2241" t="s">
        <v>2058</v>
      </c>
      <c r="I194" s="2242"/>
    </row>
    <row r="195" spans="1:12" ht="21" customHeight="1" thickBot="1" x14ac:dyDescent="0.25">
      <c r="A195" s="1201"/>
      <c r="C195" s="1201"/>
      <c r="D195" s="1201"/>
      <c r="E195" s="1201"/>
      <c r="F195" s="1201"/>
      <c r="G195" s="1201"/>
      <c r="L195" s="1228"/>
    </row>
    <row r="196" spans="1:12" ht="21" customHeight="1" thickBot="1" x14ac:dyDescent="0.25">
      <c r="A196" s="1201"/>
      <c r="C196" s="1201"/>
      <c r="D196" s="1201"/>
      <c r="E196" s="1201"/>
      <c r="F196" s="1201"/>
      <c r="G196" s="1201"/>
      <c r="H196" s="2198" t="s">
        <v>669</v>
      </c>
      <c r="I196" s="2199"/>
    </row>
    <row r="197" spans="1:12" ht="27" customHeight="1" x14ac:dyDescent="0.2">
      <c r="A197" s="1201"/>
      <c r="C197" s="1201"/>
      <c r="D197" s="1201"/>
      <c r="E197" s="1201"/>
      <c r="F197" s="1201"/>
      <c r="G197" s="1201"/>
      <c r="H197" s="2200" t="s">
        <v>938</v>
      </c>
      <c r="I197" s="2201"/>
    </row>
    <row r="198" spans="1:12" ht="27" customHeight="1" x14ac:dyDescent="0.2">
      <c r="A198" s="1201"/>
      <c r="C198" s="1201"/>
      <c r="D198" s="1201"/>
      <c r="E198" s="1201"/>
      <c r="F198" s="1201"/>
      <c r="G198" s="1201"/>
      <c r="H198" s="2184" t="s">
        <v>920</v>
      </c>
      <c r="I198" s="2185"/>
    </row>
    <row r="199" spans="1:12" ht="27" customHeight="1" x14ac:dyDescent="0.2">
      <c r="A199" s="1201"/>
      <c r="C199" s="1201"/>
      <c r="D199" s="1201"/>
      <c r="E199" s="1201"/>
      <c r="F199" s="1201"/>
      <c r="G199" s="1201"/>
      <c r="H199" s="2184" t="s">
        <v>939</v>
      </c>
      <c r="I199" s="2185"/>
    </row>
    <row r="200" spans="1:12" ht="27" customHeight="1" x14ac:dyDescent="0.2">
      <c r="A200" s="1201"/>
      <c r="C200" s="1201"/>
      <c r="D200" s="1201"/>
      <c r="E200" s="1201"/>
      <c r="F200" s="1201"/>
      <c r="G200" s="1201"/>
      <c r="H200" s="2184" t="s">
        <v>940</v>
      </c>
      <c r="I200" s="2185"/>
    </row>
    <row r="201" spans="1:12" ht="27" customHeight="1" x14ac:dyDescent="0.2">
      <c r="A201" s="1201"/>
      <c r="C201" s="1201"/>
      <c r="D201" s="1201"/>
      <c r="E201" s="1201"/>
      <c r="F201" s="1201"/>
      <c r="G201" s="1201"/>
      <c r="H201" s="2184" t="s">
        <v>794</v>
      </c>
      <c r="I201" s="2185"/>
    </row>
    <row r="202" spans="1:12" ht="27" customHeight="1" x14ac:dyDescent="0.2">
      <c r="A202" s="1201"/>
      <c r="C202" s="1201"/>
      <c r="D202" s="1201"/>
      <c r="E202" s="1201"/>
      <c r="F202" s="1201"/>
      <c r="G202" s="1201"/>
      <c r="H202" s="2186" t="s">
        <v>1388</v>
      </c>
      <c r="I202" s="2187"/>
    </row>
    <row r="203" spans="1:12" ht="42" customHeight="1" x14ac:dyDescent="0.2">
      <c r="A203" s="1201"/>
      <c r="C203" s="1201"/>
      <c r="D203" s="1201"/>
      <c r="E203" s="1201"/>
      <c r="F203" s="1201"/>
      <c r="G203" s="1201"/>
      <c r="H203" s="2184" t="s">
        <v>923</v>
      </c>
      <c r="I203" s="2185"/>
    </row>
    <row r="204" spans="1:12" ht="42" customHeight="1" x14ac:dyDescent="0.2">
      <c r="A204" s="1201"/>
      <c r="C204" s="1201"/>
      <c r="D204" s="1201"/>
      <c r="E204" s="1201"/>
      <c r="F204" s="1201"/>
      <c r="G204" s="1201"/>
      <c r="H204" s="2184" t="s">
        <v>680</v>
      </c>
      <c r="I204" s="2185"/>
    </row>
    <row r="205" spans="1:12" ht="27" customHeight="1" x14ac:dyDescent="0.2">
      <c r="A205" s="1201"/>
      <c r="C205" s="1201"/>
      <c r="D205" s="1201"/>
      <c r="E205" s="1201"/>
      <c r="F205" s="1201"/>
      <c r="G205" s="1201"/>
      <c r="H205" s="2184" t="s">
        <v>941</v>
      </c>
      <c r="I205" s="2185"/>
    </row>
    <row r="206" spans="1:12" ht="27" customHeight="1" x14ac:dyDescent="0.2">
      <c r="A206" s="1201"/>
      <c r="C206" s="1201"/>
      <c r="D206" s="1201"/>
      <c r="E206" s="1201"/>
      <c r="F206" s="1201"/>
      <c r="G206" s="1201"/>
      <c r="H206" s="2184" t="s">
        <v>942</v>
      </c>
      <c r="I206" s="2185"/>
    </row>
    <row r="207" spans="1:12" ht="27" customHeight="1" x14ac:dyDescent="0.2">
      <c r="A207" s="1201"/>
      <c r="C207" s="1201"/>
      <c r="D207" s="1201"/>
      <c r="E207" s="1201"/>
      <c r="F207" s="1201"/>
      <c r="G207" s="1201"/>
      <c r="H207" s="2184" t="s">
        <v>1221</v>
      </c>
      <c r="I207" s="2185"/>
    </row>
    <row r="208" spans="1:12" ht="27" customHeight="1" x14ac:dyDescent="0.2">
      <c r="A208" s="1201"/>
      <c r="C208" s="1201"/>
      <c r="D208" s="1201"/>
      <c r="E208" s="1201"/>
      <c r="F208" s="1201"/>
      <c r="G208" s="1201"/>
      <c r="H208" s="2184" t="s">
        <v>927</v>
      </c>
      <c r="I208" s="2185"/>
    </row>
    <row r="209" spans="1:9" ht="27" customHeight="1" x14ac:dyDescent="0.2">
      <c r="A209" s="1201"/>
      <c r="C209" s="1201"/>
      <c r="D209" s="1201"/>
      <c r="E209" s="1201"/>
      <c r="F209" s="1201"/>
      <c r="G209" s="1201"/>
      <c r="H209" s="2184" t="s">
        <v>943</v>
      </c>
      <c r="I209" s="2185"/>
    </row>
    <row r="210" spans="1:9" ht="27" customHeight="1" x14ac:dyDescent="0.2">
      <c r="A210" s="1201"/>
      <c r="C210" s="1201"/>
      <c r="D210" s="1201"/>
      <c r="E210" s="1201"/>
      <c r="F210" s="1201"/>
      <c r="G210" s="1201"/>
      <c r="H210" s="2184" t="s">
        <v>944</v>
      </c>
      <c r="I210" s="2185"/>
    </row>
    <row r="211" spans="1:9" ht="27" customHeight="1" x14ac:dyDescent="0.2">
      <c r="A211" s="1201"/>
      <c r="C211" s="1201"/>
      <c r="D211" s="1201"/>
      <c r="E211" s="1201"/>
      <c r="F211" s="1201"/>
      <c r="G211" s="1201"/>
      <c r="H211" s="2184" t="s">
        <v>945</v>
      </c>
      <c r="I211" s="2185"/>
    </row>
    <row r="212" spans="1:9" ht="42" customHeight="1" x14ac:dyDescent="0.2">
      <c r="A212" s="1201"/>
      <c r="C212" s="1201"/>
      <c r="D212" s="1201"/>
      <c r="E212" s="1201"/>
      <c r="F212" s="1201"/>
      <c r="G212" s="1201"/>
      <c r="H212" s="2196" t="s">
        <v>2883</v>
      </c>
      <c r="I212" s="2197"/>
    </row>
    <row r="213" spans="1:9" ht="42" customHeight="1" x14ac:dyDescent="0.2">
      <c r="A213" s="1201"/>
      <c r="C213" s="1201"/>
      <c r="D213" s="1201"/>
      <c r="E213" s="1201"/>
      <c r="F213" s="1201"/>
      <c r="G213" s="1201"/>
      <c r="H213" s="2184" t="s">
        <v>946</v>
      </c>
      <c r="I213" s="2185"/>
    </row>
    <row r="214" spans="1:9" ht="27" customHeight="1" x14ac:dyDescent="0.2">
      <c r="A214" s="1201"/>
      <c r="C214" s="1201"/>
      <c r="D214" s="1201"/>
      <c r="E214" s="1201"/>
      <c r="F214" s="1201"/>
      <c r="G214" s="1201"/>
      <c r="H214" s="2184" t="s">
        <v>947</v>
      </c>
      <c r="I214" s="2185"/>
    </row>
    <row r="215" spans="1:9" ht="21" customHeight="1" x14ac:dyDescent="0.2">
      <c r="A215" s="1201"/>
      <c r="C215" s="1201"/>
      <c r="D215" s="1201"/>
      <c r="E215" s="1201"/>
      <c r="F215" s="1201"/>
      <c r="G215" s="1201"/>
      <c r="H215" s="2184" t="s">
        <v>948</v>
      </c>
      <c r="I215" s="2185"/>
    </row>
    <row r="216" spans="1:9" ht="42" customHeight="1" x14ac:dyDescent="0.2">
      <c r="A216" s="1201"/>
      <c r="C216" s="1201"/>
      <c r="D216" s="1201"/>
      <c r="E216" s="1201"/>
      <c r="F216" s="1201"/>
      <c r="G216" s="1201"/>
      <c r="H216" s="2184" t="s">
        <v>949</v>
      </c>
      <c r="I216" s="2185"/>
    </row>
    <row r="217" spans="1:9" ht="42" customHeight="1" x14ac:dyDescent="0.2">
      <c r="H217" s="2184" t="s">
        <v>950</v>
      </c>
      <c r="I217" s="2185"/>
    </row>
    <row r="218" spans="1:9" ht="27" customHeight="1" x14ac:dyDescent="0.2">
      <c r="H218" s="2186" t="s">
        <v>1389</v>
      </c>
      <c r="I218" s="2187"/>
    </row>
    <row r="219" spans="1:9" ht="27" customHeight="1" thickBot="1" x14ac:dyDescent="0.25">
      <c r="H219" s="2188" t="s">
        <v>1418</v>
      </c>
      <c r="I219" s="2189"/>
    </row>
  </sheetData>
  <sheetProtection algorithmName="SHA-512" hashValue="4P+MM6y+3mrfhIUxR47C7pdxXM2UE2GwLwePctR2xQbLI0mJ882Vzg1si8TwbxEAUF+K9z9iVOHNPja4bPasnw==" saltValue="1N9gyr0srqYxdpW21EgAtg==" spinCount="100000" sheet="1" formatCells="0" formatColumns="0" formatRows="0"/>
  <customSheetViews>
    <customSheetView guid="{B8E02330-2419-4DE6-AD01-7ACC7A5D18DD}" scale="75">
      <pageMargins left="0.75" right="0.75" top="1" bottom="1" header="0.5" footer="0.5"/>
      <pageSetup orientation="portrait" r:id="rId1"/>
      <headerFooter alignWithMargins="0"/>
    </customSheetView>
  </customSheetViews>
  <mergeCells count="156">
    <mergeCell ref="H156:H159"/>
    <mergeCell ref="H120:H126"/>
    <mergeCell ref="B146:B151"/>
    <mergeCell ref="A67:A73"/>
    <mergeCell ref="A18:A25"/>
    <mergeCell ref="H139:H145"/>
    <mergeCell ref="H67:H73"/>
    <mergeCell ref="H105:H110"/>
    <mergeCell ref="H75:H83"/>
    <mergeCell ref="H84:H86"/>
    <mergeCell ref="H94:H99"/>
    <mergeCell ref="H100:H104"/>
    <mergeCell ref="H26:H31"/>
    <mergeCell ref="H61:H66"/>
    <mergeCell ref="H32:H40"/>
    <mergeCell ref="H41:H47"/>
    <mergeCell ref="H55:H59"/>
    <mergeCell ref="H111:H113"/>
    <mergeCell ref="H146:H151"/>
    <mergeCell ref="H114:H119"/>
    <mergeCell ref="H152:H155"/>
    <mergeCell ref="H127:H132"/>
    <mergeCell ref="A1:B1"/>
    <mergeCell ref="A3:A9"/>
    <mergeCell ref="A84:A86"/>
    <mergeCell ref="A114:A119"/>
    <mergeCell ref="A165:A168"/>
    <mergeCell ref="B67:B73"/>
    <mergeCell ref="A111:A113"/>
    <mergeCell ref="B18:B25"/>
    <mergeCell ref="B55:B59"/>
    <mergeCell ref="B94:B99"/>
    <mergeCell ref="B152:B155"/>
    <mergeCell ref="B84:B86"/>
    <mergeCell ref="B75:B83"/>
    <mergeCell ref="B139:B145"/>
    <mergeCell ref="B26:B31"/>
    <mergeCell ref="A94:A99"/>
    <mergeCell ref="A87:A93"/>
    <mergeCell ref="B48:B53"/>
    <mergeCell ref="B61:B66"/>
    <mergeCell ref="A41:A47"/>
    <mergeCell ref="A32:A40"/>
    <mergeCell ref="A75:A83"/>
    <mergeCell ref="A187:B194"/>
    <mergeCell ref="C187:H187"/>
    <mergeCell ref="C193:H193"/>
    <mergeCell ref="H180:H186"/>
    <mergeCell ref="A175:A179"/>
    <mergeCell ref="B105:B110"/>
    <mergeCell ref="B175:B179"/>
    <mergeCell ref="H165:H168"/>
    <mergeCell ref="C189:F189"/>
    <mergeCell ref="C190:F190"/>
    <mergeCell ref="H175:H179"/>
    <mergeCell ref="A146:A151"/>
    <mergeCell ref="A169:A174"/>
    <mergeCell ref="H194:I194"/>
    <mergeCell ref="I139:I145"/>
    <mergeCell ref="I146:I151"/>
    <mergeCell ref="I152:I155"/>
    <mergeCell ref="I156:I159"/>
    <mergeCell ref="I160:I164"/>
    <mergeCell ref="I165:I168"/>
    <mergeCell ref="I169:I174"/>
    <mergeCell ref="I175:I179"/>
    <mergeCell ref="A105:A110"/>
    <mergeCell ref="H133:H138"/>
    <mergeCell ref="H169:H174"/>
    <mergeCell ref="A180:A186"/>
    <mergeCell ref="B180:B186"/>
    <mergeCell ref="B169:B174"/>
    <mergeCell ref="B100:B104"/>
    <mergeCell ref="B114:B119"/>
    <mergeCell ref="A156:A159"/>
    <mergeCell ref="A160:A164"/>
    <mergeCell ref="B87:B93"/>
    <mergeCell ref="B160:B164"/>
    <mergeCell ref="B156:B159"/>
    <mergeCell ref="A139:A145"/>
    <mergeCell ref="A133:A138"/>
    <mergeCell ref="B120:B126"/>
    <mergeCell ref="B111:B113"/>
    <mergeCell ref="B165:B168"/>
    <mergeCell ref="A152:A155"/>
    <mergeCell ref="A127:A132"/>
    <mergeCell ref="B127:B132"/>
    <mergeCell ref="B133:B138"/>
    <mergeCell ref="A100:A104"/>
    <mergeCell ref="A120:A126"/>
    <mergeCell ref="H87:H93"/>
    <mergeCell ref="H160:H164"/>
    <mergeCell ref="E1:I1"/>
    <mergeCell ref="I3:I9"/>
    <mergeCell ref="I10:I17"/>
    <mergeCell ref="I18:I25"/>
    <mergeCell ref="I26:I31"/>
    <mergeCell ref="I32:I40"/>
    <mergeCell ref="I41:I47"/>
    <mergeCell ref="I48:I53"/>
    <mergeCell ref="H3:H9"/>
    <mergeCell ref="H10:H17"/>
    <mergeCell ref="H18:H25"/>
    <mergeCell ref="I55:I59"/>
    <mergeCell ref="I61:I66"/>
    <mergeCell ref="I67:I73"/>
    <mergeCell ref="I75:I83"/>
    <mergeCell ref="B3:B9"/>
    <mergeCell ref="B10:B17"/>
    <mergeCell ref="A26:A31"/>
    <mergeCell ref="B32:B40"/>
    <mergeCell ref="A61:A66"/>
    <mergeCell ref="B41:B47"/>
    <mergeCell ref="H48:H53"/>
    <mergeCell ref="A48:A53"/>
    <mergeCell ref="A10:A17"/>
    <mergeCell ref="A55:A59"/>
    <mergeCell ref="I87:I93"/>
    <mergeCell ref="I84:I86"/>
    <mergeCell ref="I94:I99"/>
    <mergeCell ref="I100:I104"/>
    <mergeCell ref="I105:I110"/>
    <mergeCell ref="I111:I113"/>
    <mergeCell ref="I114:I119"/>
    <mergeCell ref="I120:I126"/>
    <mergeCell ref="I133:I138"/>
    <mergeCell ref="I127:I132"/>
    <mergeCell ref="I180:I186"/>
    <mergeCell ref="C194:E194"/>
    <mergeCell ref="H207:I207"/>
    <mergeCell ref="H208:I208"/>
    <mergeCell ref="H209:I209"/>
    <mergeCell ref="H210:I210"/>
    <mergeCell ref="H211:I211"/>
    <mergeCell ref="H212:I212"/>
    <mergeCell ref="H213:I213"/>
    <mergeCell ref="H196:I196"/>
    <mergeCell ref="H197:I197"/>
    <mergeCell ref="C192:F192"/>
    <mergeCell ref="C188:F188"/>
    <mergeCell ref="C191:F191"/>
    <mergeCell ref="H216:I216"/>
    <mergeCell ref="H217:I217"/>
    <mergeCell ref="H218:I218"/>
    <mergeCell ref="H219:I219"/>
    <mergeCell ref="H215:I215"/>
    <mergeCell ref="H214:I214"/>
    <mergeCell ref="H198:I198"/>
    <mergeCell ref="H199:I199"/>
    <mergeCell ref="H200:I200"/>
    <mergeCell ref="H201:I201"/>
    <mergeCell ref="H202:I202"/>
    <mergeCell ref="H203:I203"/>
    <mergeCell ref="H204:I204"/>
    <mergeCell ref="H205:I205"/>
    <mergeCell ref="H206:I206"/>
  </mergeCells>
  <phoneticPr fontId="3" type="noConversion"/>
  <pageMargins left="0.75" right="0.75" top="1" bottom="1" header="0.5" footer="0.5"/>
  <pageSetup orientation="portrait"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5">
    <tabColor indexed="53"/>
  </sheetPr>
  <dimension ref="A1:J87"/>
  <sheetViews>
    <sheetView topLeftCell="A64" zoomScaleNormal="100" workbookViewId="0">
      <selection activeCell="K78" sqref="K78"/>
    </sheetView>
  </sheetViews>
  <sheetFormatPr defaultColWidth="9.33203125" defaultRowHeight="16.5" x14ac:dyDescent="0.2"/>
  <cols>
    <col min="1" max="1" width="5.83203125" style="2" customWidth="1"/>
    <col min="2" max="2" width="19.33203125" style="10" customWidth="1"/>
    <col min="3" max="3" width="102.83203125" style="2" customWidth="1"/>
    <col min="4" max="6" width="7.83203125" style="395" customWidth="1"/>
    <col min="7" max="7" width="8.83203125" style="396" customWidth="1"/>
    <col min="8" max="8" width="35.83203125" style="2" customWidth="1"/>
    <col min="9" max="9" width="12.1640625" style="2" customWidth="1"/>
    <col min="10" max="10" width="9.33203125" style="56"/>
    <col min="11" max="16384" width="9.33203125" style="2"/>
  </cols>
  <sheetData>
    <row r="1" spans="1:10" s="52" customFormat="1" ht="47.25" customHeight="1" thickBot="1" x14ac:dyDescent="0.25">
      <c r="A1" s="1927" t="s">
        <v>2446</v>
      </c>
      <c r="B1" s="2261"/>
      <c r="C1" s="1393" t="s">
        <v>1078</v>
      </c>
      <c r="D1" s="1474" t="s">
        <v>1077</v>
      </c>
      <c r="E1" s="2247"/>
      <c r="F1" s="2248"/>
      <c r="G1" s="2248"/>
      <c r="H1" s="2248"/>
      <c r="I1" s="2248"/>
      <c r="J1" s="247"/>
    </row>
    <row r="2" spans="1:10" s="56" customFormat="1" ht="36" customHeight="1" thickBot="1" x14ac:dyDescent="0.25">
      <c r="A2" s="1026" t="s">
        <v>88</v>
      </c>
      <c r="B2" s="1021" t="s">
        <v>2447</v>
      </c>
      <c r="C2" s="1022" t="s">
        <v>1164</v>
      </c>
      <c r="D2" s="1023" t="s">
        <v>45</v>
      </c>
      <c r="E2" s="1024" t="s">
        <v>1188</v>
      </c>
      <c r="F2" s="1023" t="s">
        <v>2582</v>
      </c>
      <c r="G2" s="1021" t="s">
        <v>2558</v>
      </c>
      <c r="H2" s="2245" t="s">
        <v>2427</v>
      </c>
      <c r="I2" s="2246"/>
    </row>
    <row r="3" spans="1:10" ht="21" customHeight="1" thickBot="1" x14ac:dyDescent="0.25">
      <c r="A3" s="1721" t="str">
        <f>OF!A50</f>
        <v>OF10</v>
      </c>
      <c r="B3" s="1669" t="str">
        <f>OF!B50</f>
        <v>Distance by Road to Nearest Population Center</v>
      </c>
      <c r="C3" s="240" t="str">
        <f>OF!C50</f>
        <v>Measured along the maintained road nearest the AA, the distance to the nearest population center is:</v>
      </c>
      <c r="D3" s="191"/>
      <c r="E3" s="191"/>
      <c r="F3" s="192"/>
      <c r="G3" s="603">
        <f>MAX(F4:F8)/MAX(E4:E8)</f>
        <v>0</v>
      </c>
      <c r="H3" s="1721" t="s">
        <v>527</v>
      </c>
      <c r="I3" s="1856"/>
    </row>
    <row r="4" spans="1:10" ht="15" customHeight="1" x14ac:dyDescent="0.2">
      <c r="A4" s="1703"/>
      <c r="B4" s="1670"/>
      <c r="C4" s="14" t="str">
        <f>OF!C51</f>
        <v>&lt;100 m.</v>
      </c>
      <c r="D4" s="129">
        <f>OF!D51</f>
        <v>0</v>
      </c>
      <c r="E4" s="187">
        <v>5</v>
      </c>
      <c r="F4" s="187">
        <f>D4*E4</f>
        <v>0</v>
      </c>
      <c r="G4" s="461"/>
      <c r="H4" s="1703"/>
      <c r="I4" s="1925"/>
    </row>
    <row r="5" spans="1:10" ht="15" customHeight="1" x14ac:dyDescent="0.2">
      <c r="A5" s="1703"/>
      <c r="B5" s="1670"/>
      <c r="C5" s="4" t="str">
        <f>OF!C52</f>
        <v>100 - 500 m.</v>
      </c>
      <c r="D5" s="33">
        <f>OF!D52</f>
        <v>0</v>
      </c>
      <c r="E5" s="187">
        <v>3</v>
      </c>
      <c r="F5" s="187">
        <f>D5*E5</f>
        <v>0</v>
      </c>
      <c r="G5" s="462"/>
      <c r="H5" s="1703"/>
      <c r="I5" s="1925"/>
    </row>
    <row r="6" spans="1:10" ht="15" customHeight="1" x14ac:dyDescent="0.2">
      <c r="A6" s="1703"/>
      <c r="B6" s="1670"/>
      <c r="C6" s="4" t="str">
        <f>OF!C53</f>
        <v>0.5- 1 km.</v>
      </c>
      <c r="D6" s="33">
        <f>OF!D53</f>
        <v>0</v>
      </c>
      <c r="E6" s="187">
        <v>2</v>
      </c>
      <c r="F6" s="187">
        <f>D6*E6</f>
        <v>0</v>
      </c>
      <c r="G6" s="462"/>
      <c r="H6" s="1703"/>
      <c r="I6" s="1925"/>
    </row>
    <row r="7" spans="1:10" ht="15" customHeight="1" x14ac:dyDescent="0.2">
      <c r="A7" s="1703"/>
      <c r="B7" s="1670"/>
      <c r="C7" s="4" t="str">
        <f>OF!C54</f>
        <v>1 - 5 km.</v>
      </c>
      <c r="D7" s="33">
        <f>OF!D54</f>
        <v>0</v>
      </c>
      <c r="E7" s="187">
        <v>1</v>
      </c>
      <c r="F7" s="187">
        <f>D7*E7</f>
        <v>0</v>
      </c>
      <c r="G7" s="462"/>
      <c r="H7" s="1703"/>
      <c r="I7" s="1925"/>
    </row>
    <row r="8" spans="1:10" ht="15" customHeight="1" thickBot="1" x14ac:dyDescent="0.25">
      <c r="A8" s="1722"/>
      <c r="B8" s="1671"/>
      <c r="C8" s="85" t="str">
        <f>OF!C55</f>
        <v>&gt;5 km.</v>
      </c>
      <c r="D8" s="84">
        <f>OF!D55</f>
        <v>0</v>
      </c>
      <c r="E8" s="188">
        <v>0</v>
      </c>
      <c r="F8" s="188">
        <f>D8*E8</f>
        <v>0</v>
      </c>
      <c r="G8" s="463"/>
      <c r="H8" s="1722"/>
      <c r="I8" s="1936"/>
    </row>
    <row r="9" spans="1:10" ht="21" customHeight="1" thickBot="1" x14ac:dyDescent="0.25">
      <c r="A9" s="1713" t="str">
        <f>OF!A56</f>
        <v>OF11</v>
      </c>
      <c r="B9" s="1669" t="str">
        <f>OF!B56</f>
        <v>Distance to Nearest Maintained Road</v>
      </c>
      <c r="C9" s="240" t="str">
        <f>OF!C56</f>
        <v>From the center of the AA, the distance to the nearest maintained public road (dirt or paved) is:</v>
      </c>
      <c r="D9" s="191"/>
      <c r="E9" s="191"/>
      <c r="F9" s="192"/>
      <c r="G9" s="603">
        <f>MAX(F10:F15)/MAX(E10:E15)</f>
        <v>0</v>
      </c>
      <c r="H9" s="1721" t="s">
        <v>533</v>
      </c>
      <c r="I9" s="1856"/>
    </row>
    <row r="10" spans="1:10" ht="15" customHeight="1" x14ac:dyDescent="0.2">
      <c r="A10" s="1714"/>
      <c r="B10" s="1670"/>
      <c r="C10" s="14" t="str">
        <f>OF!C57</f>
        <v>&lt;10 m.</v>
      </c>
      <c r="D10" s="129">
        <f>OF!D57</f>
        <v>0</v>
      </c>
      <c r="E10" s="187">
        <v>5</v>
      </c>
      <c r="F10" s="187">
        <f t="shared" ref="F10:F15" si="0">D10*E10</f>
        <v>0</v>
      </c>
      <c r="G10" s="461"/>
      <c r="H10" s="1703"/>
      <c r="I10" s="1925"/>
    </row>
    <row r="11" spans="1:10" ht="15" customHeight="1" x14ac:dyDescent="0.2">
      <c r="A11" s="1714"/>
      <c r="B11" s="1670"/>
      <c r="C11" s="4" t="str">
        <f>OF!C58</f>
        <v>10 - 25 m.</v>
      </c>
      <c r="D11" s="33">
        <f>OF!D58</f>
        <v>0</v>
      </c>
      <c r="E11" s="187">
        <v>4</v>
      </c>
      <c r="F11" s="187">
        <f t="shared" si="0"/>
        <v>0</v>
      </c>
      <c r="G11" s="462"/>
      <c r="H11" s="1703"/>
      <c r="I11" s="1925"/>
    </row>
    <row r="12" spans="1:10" ht="15" customHeight="1" x14ac:dyDescent="0.2">
      <c r="A12" s="1714"/>
      <c r="B12" s="1670"/>
      <c r="C12" s="4" t="str">
        <f>OF!C59</f>
        <v>25 - 50 m.</v>
      </c>
      <c r="D12" s="33">
        <f>OF!D59</f>
        <v>0</v>
      </c>
      <c r="E12" s="187">
        <v>2</v>
      </c>
      <c r="F12" s="187">
        <f t="shared" si="0"/>
        <v>0</v>
      </c>
      <c r="G12" s="462"/>
      <c r="H12" s="1703"/>
      <c r="I12" s="1925"/>
    </row>
    <row r="13" spans="1:10" ht="15" customHeight="1" x14ac:dyDescent="0.2">
      <c r="A13" s="1714"/>
      <c r="B13" s="1670"/>
      <c r="C13" s="4" t="str">
        <f>OF!C60</f>
        <v>50 - 100 m.</v>
      </c>
      <c r="D13" s="33">
        <f>OF!D60</f>
        <v>0</v>
      </c>
      <c r="E13" s="187">
        <v>1</v>
      </c>
      <c r="F13" s="187">
        <f t="shared" si="0"/>
        <v>0</v>
      </c>
      <c r="G13" s="462"/>
      <c r="H13" s="1703"/>
      <c r="I13" s="1925"/>
    </row>
    <row r="14" spans="1:10" ht="15" customHeight="1" x14ac:dyDescent="0.2">
      <c r="A14" s="1714"/>
      <c r="B14" s="1670"/>
      <c r="C14" s="4" t="str">
        <f>OF!C61</f>
        <v>100 - 500 m.</v>
      </c>
      <c r="D14" s="33">
        <f>OF!D61</f>
        <v>0</v>
      </c>
      <c r="E14" s="187">
        <v>1</v>
      </c>
      <c r="F14" s="187">
        <f t="shared" si="0"/>
        <v>0</v>
      </c>
      <c r="G14" s="462"/>
      <c r="H14" s="1703"/>
      <c r="I14" s="1925"/>
    </row>
    <row r="15" spans="1:10" ht="15" customHeight="1" thickBot="1" x14ac:dyDescent="0.25">
      <c r="A15" s="1715"/>
      <c r="B15" s="1671"/>
      <c r="C15" s="85" t="str">
        <f>OF!C62</f>
        <v>&gt;500 m.</v>
      </c>
      <c r="D15" s="84">
        <f>OF!D62</f>
        <v>0</v>
      </c>
      <c r="E15" s="188">
        <v>0</v>
      </c>
      <c r="F15" s="216">
        <f t="shared" si="0"/>
        <v>0</v>
      </c>
      <c r="G15" s="463"/>
      <c r="H15" s="1722"/>
      <c r="I15" s="1936"/>
    </row>
    <row r="16" spans="1:10" ht="45" customHeight="1" thickBot="1" x14ac:dyDescent="0.25">
      <c r="A16" s="173" t="str">
        <f>OF!A63</f>
        <v>OF12</v>
      </c>
      <c r="B16" s="70" t="str">
        <f>OF!B63</f>
        <v>Wildlife Access</v>
      </c>
      <c r="C16" s="382" t="str">
        <f>OF!C63</f>
        <v>Draw a circle of radius of 5 km from the center of the AA. If mammals and amphibians can move from the center of the AA to ALL other separate wetlands and ponds located within the circle without being forced to cross pavement (any width), lawns, bare ground, and/or marine waters, mark 1= yes can move to all, 0= no.  Change to blank if there are no other wetlands within 5 km.</v>
      </c>
      <c r="D16" s="121">
        <f>IF((OF!D63=""),"",OF!D63)</f>
        <v>0</v>
      </c>
      <c r="E16" s="210"/>
      <c r="F16" s="199"/>
      <c r="G16" s="603">
        <f>IF((D16=""),"",1-D16)</f>
        <v>1</v>
      </c>
      <c r="H16" s="1996" t="s">
        <v>532</v>
      </c>
      <c r="I16" s="1997"/>
    </row>
    <row r="17" spans="1:9" ht="30" customHeight="1" thickBot="1" x14ac:dyDescent="0.25">
      <c r="A17" s="1703" t="str">
        <f>OF!A99</f>
        <v>OF20</v>
      </c>
      <c r="B17" s="1670" t="str">
        <f>OF!B99</f>
        <v xml:space="preserve">Degraded Water Upstream </v>
      </c>
      <c r="C17" s="3" t="str">
        <f>OF!C99</f>
        <v xml:space="preserve">Sampling indicates a problem with concentrations of metals, hydrocarbons, nutrients, or other substances (excluding bacteria, acidic water, high temperatures) being present at levels harmful to aquatic life or humans, and:  </v>
      </c>
      <c r="D17" s="186"/>
      <c r="E17" s="186"/>
      <c r="F17" s="189"/>
      <c r="G17" s="605">
        <f>IF((D21=1),"", IF((D18=1),1, IF((D19=1), 0.5,0)))</f>
        <v>0</v>
      </c>
      <c r="H17" s="1721" t="s">
        <v>535</v>
      </c>
      <c r="I17" s="1856"/>
    </row>
    <row r="18" spans="1:9" ht="15" customHeight="1" x14ac:dyDescent="0.2">
      <c r="A18" s="1703"/>
      <c r="B18" s="1670"/>
      <c r="C18" s="31" t="str">
        <f>OF!C100</f>
        <v>The condition is present within the AA.</v>
      </c>
      <c r="D18" s="144">
        <f>OF!D100</f>
        <v>0</v>
      </c>
      <c r="E18" s="187"/>
      <c r="F18" s="212"/>
      <c r="G18" s="461"/>
      <c r="H18" s="1703"/>
      <c r="I18" s="1925"/>
    </row>
    <row r="19" spans="1:9" ht="15" customHeight="1" x14ac:dyDescent="0.2">
      <c r="A19" s="1703"/>
      <c r="B19" s="1670"/>
      <c r="C19" s="1324" t="str">
        <f>OF!C101</f>
        <v>The condition is present in waters within 1 km that flow into the AA, but has not been documented in the AA itself.</v>
      </c>
      <c r="D19" s="129">
        <f>OF!D101</f>
        <v>0</v>
      </c>
      <c r="E19" s="187"/>
      <c r="F19" s="212"/>
      <c r="G19" s="462"/>
      <c r="H19" s="1703"/>
      <c r="I19" s="1925"/>
    </row>
    <row r="20" spans="1:9" ht="15" customHeight="1" x14ac:dyDescent="0.2">
      <c r="A20" s="1703"/>
      <c r="B20" s="1670"/>
      <c r="C20" s="1324" t="str">
        <f>OF!C102</f>
        <v>Sampling during both low water periods and times with high runoff (storms, snowmelt) indicates no problems in either the AA or inflowing waters.</v>
      </c>
      <c r="D20" s="129">
        <f>OF!D102</f>
        <v>0</v>
      </c>
      <c r="E20" s="187"/>
      <c r="F20" s="212"/>
      <c r="G20" s="462"/>
      <c r="H20" s="1703"/>
      <c r="I20" s="1925"/>
    </row>
    <row r="21" spans="1:9" ht="27" customHeight="1" thickBot="1" x14ac:dyDescent="0.25">
      <c r="A21" s="1703"/>
      <c r="B21" s="1670"/>
      <c r="C21" s="1325" t="str">
        <f>OF!C103</f>
        <v>Data are insufficient (no or inadequate sampling within 1 km, or condition exists only at &gt;1 km upstream). This is the situation for nearly all wetlands in this region.</v>
      </c>
      <c r="D21" s="183">
        <f>OF!D103</f>
        <v>0</v>
      </c>
      <c r="E21" s="190"/>
      <c r="F21" s="214"/>
      <c r="G21" s="606"/>
      <c r="H21" s="1722"/>
      <c r="I21" s="1936"/>
    </row>
    <row r="22" spans="1:9" ht="30" customHeight="1" thickBot="1" x14ac:dyDescent="0.25">
      <c r="A22" s="1721" t="str">
        <f>OF!A114</f>
        <v>OF23</v>
      </c>
      <c r="B22" s="1669" t="str">
        <f>OF!B114</f>
        <v>Unvegetated Surface in the Contributing Area</v>
      </c>
      <c r="C22" s="240" t="str">
        <f>OF!C114</f>
        <v>The proportion of the AA's contributing area (measured to no more than 1000 m upslope) that is comprised of buildings, roads, parking lots, other pavement, exposed bedrock, landslides, and other mostly-bare surface is about :</v>
      </c>
      <c r="D22" s="191"/>
      <c r="E22" s="191"/>
      <c r="F22" s="192"/>
      <c r="G22" s="603">
        <f>MAX(F23:F25)/MAX(E23:E25)</f>
        <v>0</v>
      </c>
      <c r="H22" s="1721" t="s">
        <v>534</v>
      </c>
      <c r="I22" s="1856"/>
    </row>
    <row r="23" spans="1:9" ht="15" customHeight="1" x14ac:dyDescent="0.2">
      <c r="A23" s="1703"/>
      <c r="B23" s="1670"/>
      <c r="C23" s="1324" t="str">
        <f>OF!C115</f>
        <v>&lt;10%.</v>
      </c>
      <c r="D23" s="129">
        <f>OF!D115</f>
        <v>0</v>
      </c>
      <c r="E23" s="187">
        <v>0</v>
      </c>
      <c r="F23" s="212">
        <f>D23*E23</f>
        <v>0</v>
      </c>
      <c r="G23" s="461"/>
      <c r="H23" s="1703"/>
      <c r="I23" s="1925"/>
    </row>
    <row r="24" spans="1:9" ht="15" customHeight="1" x14ac:dyDescent="0.2">
      <c r="A24" s="1703"/>
      <c r="B24" s="1670"/>
      <c r="C24" s="1324" t="str">
        <f>OF!C116</f>
        <v>10 to 25%.</v>
      </c>
      <c r="D24" s="129">
        <f>OF!D116</f>
        <v>0</v>
      </c>
      <c r="E24" s="187">
        <v>2</v>
      </c>
      <c r="F24" s="212">
        <f>D24*E24</f>
        <v>0</v>
      </c>
      <c r="G24" s="462"/>
      <c r="H24" s="1703"/>
      <c r="I24" s="1925"/>
    </row>
    <row r="25" spans="1:9" ht="15" customHeight="1" thickBot="1" x14ac:dyDescent="0.25">
      <c r="A25" s="1722"/>
      <c r="B25" s="1671"/>
      <c r="C25" s="1326" t="str">
        <f>OF!C117</f>
        <v>&gt;25%.</v>
      </c>
      <c r="D25" s="151">
        <f>OF!D117</f>
        <v>0</v>
      </c>
      <c r="E25" s="188">
        <v>3</v>
      </c>
      <c r="F25" s="216">
        <f>D25*E25</f>
        <v>0</v>
      </c>
      <c r="G25" s="463"/>
      <c r="H25" s="1722"/>
      <c r="I25" s="1936"/>
    </row>
    <row r="26" spans="1:9" ht="29.25" customHeight="1" thickBot="1" x14ac:dyDescent="0.25">
      <c r="A26" s="1669" t="str">
        <f>OF!A153</f>
        <v>OF38</v>
      </c>
      <c r="B26" s="1669" t="str">
        <f>OF!B153</f>
        <v xml:space="preserve">Ownership </v>
      </c>
      <c r="C26" s="245" t="str">
        <f>OF!C153</f>
        <v>Select the ONE ownership that covers the most of the AA. In Google Earth, open KMZ file called NB Crown lands.Use more recent information if available.</v>
      </c>
      <c r="D26" s="191"/>
      <c r="E26" s="191"/>
      <c r="F26" s="192"/>
      <c r="G26" s="603">
        <f>MAX(F27:F30)/MAX(E27:E30)</f>
        <v>0</v>
      </c>
      <c r="H26" s="1721" t="s">
        <v>609</v>
      </c>
      <c r="I26" s="1856"/>
    </row>
    <row r="27" spans="1:9" ht="27" customHeight="1" x14ac:dyDescent="0.2">
      <c r="A27" s="1670"/>
      <c r="B27" s="1670"/>
      <c r="C27" s="1058" t="str">
        <f>OF!C154</f>
        <v>New timber harvest, roads, mineral extraction, and intensive summer recreation (e.g., off-road vehicles) are permanently prohibited. Includes many publicly-owned Protected Lands, and private lands under long-term (30+ year) legal agreements to maintain nearly-unaltered conditions.</v>
      </c>
      <c r="D27" s="33">
        <f>OF!D154</f>
        <v>0</v>
      </c>
      <c r="E27" s="203">
        <v>0</v>
      </c>
      <c r="F27" s="187">
        <f>D27*E27</f>
        <v>0</v>
      </c>
      <c r="G27" s="461"/>
      <c r="H27" s="1703"/>
      <c r="I27" s="1925"/>
    </row>
    <row r="28" spans="1:9" ht="15" customHeight="1" x14ac:dyDescent="0.2">
      <c r="A28" s="1670"/>
      <c r="B28" s="1670"/>
      <c r="C28" s="1058" t="str">
        <f>OF!C155</f>
        <v>Ownership is public (e.g., municipal, Crown Reservations/Notations) but some or all of the above activities are allowed.</v>
      </c>
      <c r="D28" s="33">
        <f>OF!D155</f>
        <v>0</v>
      </c>
      <c r="E28" s="203">
        <v>2</v>
      </c>
      <c r="F28" s="187">
        <f>D28*E28</f>
        <v>0</v>
      </c>
      <c r="G28" s="461"/>
      <c r="H28" s="1703"/>
      <c r="I28" s="1925"/>
    </row>
    <row r="29" spans="1:9" ht="15" customHeight="1" x14ac:dyDescent="0.2">
      <c r="A29" s="1670"/>
      <c r="B29" s="1670"/>
      <c r="C29" s="1058" t="str">
        <f>OF!C156</f>
        <v>Ownership is private but public access is allowed, and/or a shorter-term conservation easement (whether renewable or not) is in place.</v>
      </c>
      <c r="D29" s="33">
        <f>OF!D156</f>
        <v>0</v>
      </c>
      <c r="E29" s="203">
        <v>1</v>
      </c>
      <c r="F29" s="187">
        <f>D29*E29</f>
        <v>0</v>
      </c>
      <c r="G29" s="461"/>
      <c r="H29" s="1703"/>
      <c r="I29" s="1925"/>
    </row>
    <row r="30" spans="1:9" ht="15" customHeight="1" thickBot="1" x14ac:dyDescent="0.25">
      <c r="A30" s="1671"/>
      <c r="B30" s="1671"/>
      <c r="C30" s="1061" t="str">
        <f>OF!C157</f>
        <v>Ownership is private and owner does not allow access, or access permission unknown, and not a conservation easement.</v>
      </c>
      <c r="D30" s="84">
        <f>OF!D157</f>
        <v>0</v>
      </c>
      <c r="E30" s="188">
        <v>2</v>
      </c>
      <c r="F30" s="188">
        <f>D30*E30</f>
        <v>0</v>
      </c>
      <c r="G30" s="463"/>
      <c r="H30" s="1722"/>
      <c r="I30" s="1936"/>
    </row>
    <row r="31" spans="1:9" ht="30" customHeight="1" thickBot="1" x14ac:dyDescent="0.25">
      <c r="A31" s="1713" t="str">
        <f>F!A114</f>
        <v>F21</v>
      </c>
      <c r="B31" s="1669" t="str">
        <f>F!B114</f>
        <v>Invasive Cover Along Upland Edge</v>
      </c>
      <c r="C31" s="240" t="str">
        <f>F!C114</f>
        <v>Along the wetland-upland boundary, the percent of the upland edge (within 3 m upslope from the wetland) that is occupied by invasive plant species is:</v>
      </c>
      <c r="D31" s="191"/>
      <c r="E31" s="191"/>
      <c r="F31" s="192"/>
      <c r="G31" s="603">
        <f>MAX(F32:F35)/MAX(E32:E35)</f>
        <v>0</v>
      </c>
      <c r="H31" s="1721" t="s">
        <v>528</v>
      </c>
      <c r="I31" s="1856"/>
    </row>
    <row r="32" spans="1:9" ht="15" customHeight="1" x14ac:dyDescent="0.2">
      <c r="A32" s="1714"/>
      <c r="B32" s="1670"/>
      <c r="C32" s="14" t="str">
        <f>F!C115</f>
        <v>none of the upland edge (invasives apparently absent), or AA has no upland edge.</v>
      </c>
      <c r="D32" s="129">
        <f>F!D115</f>
        <v>0</v>
      </c>
      <c r="E32" s="187">
        <v>0</v>
      </c>
      <c r="F32" s="187">
        <f>D32*E32</f>
        <v>0</v>
      </c>
      <c r="G32" s="607"/>
      <c r="H32" s="1703"/>
      <c r="I32" s="1925"/>
    </row>
    <row r="33" spans="1:9" ht="15" customHeight="1" x14ac:dyDescent="0.2">
      <c r="A33" s="1714"/>
      <c r="B33" s="1670"/>
      <c r="C33" s="4" t="str">
        <f>F!C116</f>
        <v>some (but &lt;5%) of the upland edge.</v>
      </c>
      <c r="D33" s="33">
        <f>F!D116</f>
        <v>0</v>
      </c>
      <c r="E33" s="187">
        <v>1</v>
      </c>
      <c r="F33" s="187">
        <f>D33*E33</f>
        <v>0</v>
      </c>
      <c r="G33" s="608"/>
      <c r="H33" s="1703"/>
      <c r="I33" s="1925"/>
    </row>
    <row r="34" spans="1:9" ht="15" customHeight="1" x14ac:dyDescent="0.2">
      <c r="A34" s="1714"/>
      <c r="B34" s="1670"/>
      <c r="C34" s="4" t="str">
        <f>F!C117</f>
        <v>5-50% of the upland edge.</v>
      </c>
      <c r="D34" s="33">
        <f>F!D117</f>
        <v>0</v>
      </c>
      <c r="E34" s="187">
        <v>2</v>
      </c>
      <c r="F34" s="187">
        <f>D34*E34</f>
        <v>0</v>
      </c>
      <c r="G34" s="608"/>
      <c r="H34" s="1703"/>
      <c r="I34" s="1925"/>
    </row>
    <row r="35" spans="1:9" ht="15" customHeight="1" thickBot="1" x14ac:dyDescent="0.25">
      <c r="A35" s="1715"/>
      <c r="B35" s="1671"/>
      <c r="C35" s="85" t="str">
        <f>F!C118</f>
        <v>most (&gt;50%) of the upland edge.</v>
      </c>
      <c r="D35" s="84">
        <f>F!D118</f>
        <v>0</v>
      </c>
      <c r="E35" s="188">
        <v>3</v>
      </c>
      <c r="F35" s="188">
        <f>D35*E35</f>
        <v>0</v>
      </c>
      <c r="G35" s="609"/>
      <c r="H35" s="1722"/>
      <c r="I35" s="1936"/>
    </row>
    <row r="36" spans="1:9" ht="21" customHeight="1" thickBot="1" x14ac:dyDescent="0.25">
      <c r="A36" s="1862" t="str">
        <f>F!A212</f>
        <v>F43</v>
      </c>
      <c r="B36" s="1666" t="str">
        <f>F!B212</f>
        <v xml:space="preserve">Outflow Confinement </v>
      </c>
      <c r="C36" s="323" t="str">
        <f>F!C212</f>
        <v>During major runoff events, in the places where surface water exits the AA or connected waters nearby, the water:</v>
      </c>
      <c r="D36" s="191"/>
      <c r="E36" s="191"/>
      <c r="F36" s="191"/>
      <c r="G36" s="603">
        <f>IF((OutNone + OutNone1&gt;0),"",MAX(F37:F39)/MAX(E37:E39))</f>
        <v>0</v>
      </c>
      <c r="H36" s="1721" t="s">
        <v>1052</v>
      </c>
      <c r="I36" s="1856"/>
    </row>
    <row r="37" spans="1:9" ht="27" customHeight="1" x14ac:dyDescent="0.2">
      <c r="A37" s="1723"/>
      <c r="B37" s="1667"/>
      <c r="C37" s="324" t="str">
        <f>F!C213</f>
        <v>Mostly passes through a pipe, culvert, narrowly breached dike, berm, beaver dam, or other partial obstruction (other than natural topography) that does not appear to drain the wetland artificially during most of the growing season.</v>
      </c>
      <c r="D37" s="131">
        <f>F!D213</f>
        <v>0</v>
      </c>
      <c r="E37" s="187">
        <v>1</v>
      </c>
      <c r="F37" s="212">
        <f>D37*E37</f>
        <v>0</v>
      </c>
      <c r="G37" s="462"/>
      <c r="H37" s="1703"/>
      <c r="I37" s="1925"/>
    </row>
    <row r="38" spans="1:9" ht="15" customHeight="1" x14ac:dyDescent="0.2">
      <c r="A38" s="1723"/>
      <c r="B38" s="1667"/>
      <c r="C38" s="325" t="str">
        <f>F!C214</f>
        <v>Leaves through natural exits (channels or diffuse outflow), not mainly through artificial or temporary features.</v>
      </c>
      <c r="D38" s="132">
        <f>F!D214</f>
        <v>0</v>
      </c>
      <c r="E38" s="187">
        <v>0</v>
      </c>
      <c r="F38" s="212">
        <f>D38*E38</f>
        <v>0</v>
      </c>
      <c r="G38" s="462"/>
      <c r="H38" s="1703"/>
      <c r="I38" s="1925"/>
    </row>
    <row r="39" spans="1:9" ht="27" customHeight="1" thickBot="1" x14ac:dyDescent="0.25">
      <c r="A39" s="1863"/>
      <c r="B39" s="1668"/>
      <c r="C39" s="401" t="str">
        <f>F!C215</f>
        <v>Is exported more quickly than usual due to ditches or pipes within the AA or connected to its outlet, or within 10 m of the AA's edge, which drain the wetland artificially, or water is pumped out of the AA.</v>
      </c>
      <c r="D39" s="148">
        <f>F!D215</f>
        <v>0</v>
      </c>
      <c r="E39" s="188">
        <v>2</v>
      </c>
      <c r="F39" s="216">
        <f>D39*E39</f>
        <v>0</v>
      </c>
      <c r="G39" s="463"/>
      <c r="H39" s="1722"/>
      <c r="I39" s="1936"/>
    </row>
    <row r="40" spans="1:9" ht="30" customHeight="1" thickBot="1" x14ac:dyDescent="0.25">
      <c r="A40" s="1670" t="str">
        <f>F!A247</f>
        <v>F52</v>
      </c>
      <c r="B40" s="1670" t="str">
        <f>F!B247</f>
        <v>Vegetated Buffer as % of Perimeter</v>
      </c>
      <c r="C40" s="245" t="str">
        <f>F!C247</f>
        <v>Within a zone extending 30 m laterally from the AA's edge with upland and/or other wetlands, the percentage that contains perennial vegetation cover (except lawns, row crops, heavily grazed land, conifer plantations) is:</v>
      </c>
      <c r="D40" s="191"/>
      <c r="E40" s="186"/>
      <c r="F40" s="189"/>
      <c r="G40" s="605">
        <f>MAX(F41:F45)/MAX(E41:E45)</f>
        <v>0</v>
      </c>
      <c r="H40" s="1721" t="s">
        <v>529</v>
      </c>
      <c r="I40" s="1856"/>
    </row>
    <row r="41" spans="1:9" ht="15" customHeight="1" x14ac:dyDescent="0.2">
      <c r="A41" s="1670"/>
      <c r="B41" s="1670"/>
      <c r="C41" s="901" t="str">
        <f>F!C248</f>
        <v>&lt;5%.</v>
      </c>
      <c r="D41" s="33">
        <f>F!D248</f>
        <v>0</v>
      </c>
      <c r="E41" s="203">
        <v>4</v>
      </c>
      <c r="F41" s="187">
        <f>D41*E41</f>
        <v>0</v>
      </c>
      <c r="G41" s="607"/>
      <c r="H41" s="1703"/>
      <c r="I41" s="1925"/>
    </row>
    <row r="42" spans="1:9" ht="15" customHeight="1" x14ac:dyDescent="0.2">
      <c r="A42" s="1670"/>
      <c r="B42" s="1670"/>
      <c r="C42" s="811" t="str">
        <f>F!C249</f>
        <v>5 to 30%.</v>
      </c>
      <c r="D42" s="183">
        <f>F!D249</f>
        <v>0</v>
      </c>
      <c r="E42" s="203">
        <v>3</v>
      </c>
      <c r="F42" s="187">
        <f>D42*E42</f>
        <v>0</v>
      </c>
      <c r="G42" s="608"/>
      <c r="H42" s="1703"/>
      <c r="I42" s="1925"/>
    </row>
    <row r="43" spans="1:9" ht="15" customHeight="1" x14ac:dyDescent="0.2">
      <c r="A43" s="1670"/>
      <c r="B43" s="1670"/>
      <c r="C43" s="811" t="str">
        <f>F!C250</f>
        <v>30 to 60%.</v>
      </c>
      <c r="D43" s="33">
        <f>F!D250</f>
        <v>0</v>
      </c>
      <c r="E43" s="203">
        <v>2</v>
      </c>
      <c r="F43" s="187">
        <f>D43*E43</f>
        <v>0</v>
      </c>
      <c r="G43" s="608"/>
      <c r="H43" s="1703"/>
      <c r="I43" s="1925"/>
    </row>
    <row r="44" spans="1:9" ht="15" customHeight="1" x14ac:dyDescent="0.2">
      <c r="A44" s="1670"/>
      <c r="B44" s="1670"/>
      <c r="C44" s="811" t="str">
        <f>F!C251</f>
        <v>60 to 90%.</v>
      </c>
      <c r="D44" s="183">
        <f>F!D251</f>
        <v>0</v>
      </c>
      <c r="E44" s="203">
        <v>1</v>
      </c>
      <c r="F44" s="187">
        <f>D44*E44</f>
        <v>0</v>
      </c>
      <c r="G44" s="608"/>
      <c r="H44" s="1703"/>
      <c r="I44" s="1925"/>
    </row>
    <row r="45" spans="1:9" ht="15" customHeight="1" thickBot="1" x14ac:dyDescent="0.25">
      <c r="A45" s="1670"/>
      <c r="B45" s="1670"/>
      <c r="C45" s="677" t="str">
        <f>F!C252</f>
        <v>&gt;90%, or all the area within 30 m of the AA edge is other wetlands. SKIP to F55.</v>
      </c>
      <c r="D45" s="84">
        <f>F!D252</f>
        <v>0</v>
      </c>
      <c r="E45" s="321">
        <v>0</v>
      </c>
      <c r="F45" s="190">
        <f>D45*E45</f>
        <v>0</v>
      </c>
      <c r="G45" s="610"/>
      <c r="H45" s="1722"/>
      <c r="I45" s="1936"/>
    </row>
    <row r="46" spans="1:9" ht="21" customHeight="1" thickBot="1" x14ac:dyDescent="0.25">
      <c r="A46" s="1669" t="str">
        <f>F!A253</f>
        <v>F53</v>
      </c>
      <c r="B46" s="1669" t="str">
        <f>F!B253</f>
        <v>Type of Cover in Buffer</v>
      </c>
      <c r="C46" s="245" t="str">
        <f>F!C253</f>
        <v>Within 30 m upslope of where the wetland transitions to upland, the upland land cover that is NOT perennial vegetation is mostly (mark ONE):</v>
      </c>
      <c r="D46" s="191"/>
      <c r="E46" s="191"/>
      <c r="F46" s="192"/>
      <c r="G46" s="603">
        <f>IF((BuffAllNat=1),"", MAX(F47:F48)/MAX(E47:E48))</f>
        <v>0</v>
      </c>
      <c r="H46" s="1721" t="s">
        <v>994</v>
      </c>
      <c r="I46" s="1856"/>
    </row>
    <row r="47" spans="1:9" ht="15" customHeight="1" x14ac:dyDescent="0.2">
      <c r="A47" s="1670"/>
      <c r="B47" s="1670"/>
      <c r="C47" s="901" t="str">
        <f>F!C254</f>
        <v>Impervious surface, e.g., paved road, parking lot, building, exposed rock.</v>
      </c>
      <c r="D47" s="33">
        <f>F!D254</f>
        <v>0</v>
      </c>
      <c r="E47" s="203">
        <v>2</v>
      </c>
      <c r="F47" s="187">
        <f>D47*E47</f>
        <v>0</v>
      </c>
      <c r="G47" s="461"/>
      <c r="H47" s="1703"/>
      <c r="I47" s="1925"/>
    </row>
    <row r="48" spans="1:9" ht="15" customHeight="1" thickBot="1" x14ac:dyDescent="0.25">
      <c r="A48" s="1670"/>
      <c r="B48" s="1670"/>
      <c r="C48" s="677" t="str">
        <f>F!C255</f>
        <v>Bare or nearly bare pervious surface or managed vegetation, e.g., lawn, row crops, unpaved road, dike, landslide.</v>
      </c>
      <c r="D48" s="151">
        <f>F!D255</f>
        <v>0</v>
      </c>
      <c r="E48" s="321">
        <v>1</v>
      </c>
      <c r="F48" s="190">
        <f>D48*E48</f>
        <v>0</v>
      </c>
      <c r="G48" s="606"/>
      <c r="H48" s="1722"/>
      <c r="I48" s="1936"/>
    </row>
    <row r="49" spans="1:9" ht="21" customHeight="1" thickBot="1" x14ac:dyDescent="0.25">
      <c r="A49" s="1669" t="str">
        <f>F!A269</f>
        <v>F57</v>
      </c>
      <c r="B49" s="1669" t="str">
        <f>F!B269</f>
        <v>Burn History</v>
      </c>
      <c r="C49" s="55" t="str">
        <f>F!C269</f>
        <v>More than 1% of the AA's previously vegetated area:</v>
      </c>
      <c r="D49" s="202"/>
      <c r="E49" s="191"/>
      <c r="F49" s="191"/>
      <c r="G49" s="1028">
        <f>MAX(F50:F53)/MAX(E50:E53)</f>
        <v>0</v>
      </c>
      <c r="H49" s="1721" t="s">
        <v>1686</v>
      </c>
      <c r="I49" s="1856"/>
    </row>
    <row r="50" spans="1:9" ht="15" customHeight="1" x14ac:dyDescent="0.2">
      <c r="A50" s="1670"/>
      <c r="B50" s="1670"/>
      <c r="C50" s="243" t="str">
        <f>F!C270</f>
        <v>Burned within past 5 years.</v>
      </c>
      <c r="D50" s="33">
        <f>F!D270</f>
        <v>0</v>
      </c>
      <c r="E50" s="187">
        <v>4</v>
      </c>
      <c r="F50" s="187">
        <f>D50*E50</f>
        <v>0</v>
      </c>
      <c r="G50" s="384"/>
      <c r="H50" s="1703"/>
      <c r="I50" s="1925"/>
    </row>
    <row r="51" spans="1:9" ht="15" customHeight="1" x14ac:dyDescent="0.2">
      <c r="A51" s="1670"/>
      <c r="B51" s="1670"/>
      <c r="C51" s="244" t="str">
        <f>F!C271</f>
        <v>Burned 6-10 years ago.</v>
      </c>
      <c r="D51" s="33">
        <f>F!D271</f>
        <v>0</v>
      </c>
      <c r="E51" s="187">
        <v>3</v>
      </c>
      <c r="F51" s="187">
        <f>D51*E51</f>
        <v>0</v>
      </c>
      <c r="G51" s="384"/>
      <c r="H51" s="1703"/>
      <c r="I51" s="1925"/>
    </row>
    <row r="52" spans="1:9" ht="15" customHeight="1" x14ac:dyDescent="0.2">
      <c r="A52" s="1670"/>
      <c r="B52" s="1670"/>
      <c r="C52" s="244" t="str">
        <f>F!C272</f>
        <v>Burned 11-30 years ago.</v>
      </c>
      <c r="D52" s="33">
        <f>F!D272</f>
        <v>0</v>
      </c>
      <c r="E52" s="187">
        <v>2</v>
      </c>
      <c r="F52" s="187">
        <f>D52*E52</f>
        <v>0</v>
      </c>
      <c r="G52" s="384"/>
      <c r="H52" s="1703"/>
      <c r="I52" s="1925"/>
    </row>
    <row r="53" spans="1:9" ht="15" customHeight="1" thickBot="1" x14ac:dyDescent="0.25">
      <c r="A53" s="1671"/>
      <c r="B53" s="1671"/>
      <c r="C53" s="242" t="str">
        <f>F!C273</f>
        <v>Burned &gt;30 years ago, or no evidence of a burn and no data.</v>
      </c>
      <c r="D53" s="84">
        <f>F!D273</f>
        <v>0</v>
      </c>
      <c r="E53" s="188">
        <v>0</v>
      </c>
      <c r="F53" s="188">
        <f>D53*E53</f>
        <v>0</v>
      </c>
      <c r="G53" s="385"/>
      <c r="H53" s="1722"/>
      <c r="I53" s="1936"/>
    </row>
    <row r="54" spans="1:9" ht="30" customHeight="1" thickBot="1" x14ac:dyDescent="0.25">
      <c r="A54" s="1670" t="str">
        <f>F!A274</f>
        <v>F58</v>
      </c>
      <c r="B54" s="1703" t="str">
        <f>F!B274</f>
        <v>Visibility</v>
      </c>
      <c r="C54" s="3" t="str">
        <f>F!C274</f>
        <v>The maximum percentage of the wetland that is visible from the best vantage point on public roads, public parking lots, public buildings, or public maintained trails that intersect, adjoin, or are within 100 m of the AA (select one) is:</v>
      </c>
      <c r="D54" s="205"/>
      <c r="E54" s="186"/>
      <c r="F54" s="189"/>
      <c r="G54" s="605">
        <f>MAX(F55:F57)/MAX(E55:E57)</f>
        <v>0</v>
      </c>
      <c r="H54" s="1721" t="s">
        <v>993</v>
      </c>
      <c r="I54" s="1856"/>
    </row>
    <row r="55" spans="1:9" ht="15" customHeight="1" x14ac:dyDescent="0.2">
      <c r="A55" s="1670"/>
      <c r="B55" s="1703"/>
      <c r="C55" s="813" t="str">
        <f>F!C275</f>
        <v>&lt;25%.</v>
      </c>
      <c r="D55" s="1025">
        <f>F!D275</f>
        <v>0</v>
      </c>
      <c r="E55" s="203">
        <v>0</v>
      </c>
      <c r="F55" s="187">
        <f>D55*E55</f>
        <v>0</v>
      </c>
      <c r="G55" s="461"/>
      <c r="H55" s="1703"/>
      <c r="I55" s="1925"/>
    </row>
    <row r="56" spans="1:9" ht="15" customHeight="1" x14ac:dyDescent="0.2">
      <c r="A56" s="1670"/>
      <c r="B56" s="1703"/>
      <c r="C56" s="628" t="str">
        <f>F!C276</f>
        <v>25-50%.</v>
      </c>
      <c r="D56" s="146">
        <f>F!D276</f>
        <v>0</v>
      </c>
      <c r="E56" s="203">
        <v>1</v>
      </c>
      <c r="F56" s="187">
        <f>D56*E56</f>
        <v>0</v>
      </c>
      <c r="G56" s="606"/>
      <c r="H56" s="1703"/>
      <c r="I56" s="1925"/>
    </row>
    <row r="57" spans="1:9" ht="15" customHeight="1" thickBot="1" x14ac:dyDescent="0.25">
      <c r="A57" s="1670"/>
      <c r="B57" s="1703"/>
      <c r="C57" s="811" t="str">
        <f>F!C277</f>
        <v>&gt;50%.</v>
      </c>
      <c r="D57" s="900">
        <f>F!D277</f>
        <v>0</v>
      </c>
      <c r="E57" s="321">
        <v>2</v>
      </c>
      <c r="F57" s="214">
        <f>D57*E57</f>
        <v>0</v>
      </c>
      <c r="G57" s="606"/>
      <c r="H57" s="1703"/>
      <c r="I57" s="1925"/>
    </row>
    <row r="58" spans="1:9" ht="21" customHeight="1" thickBot="1" x14ac:dyDescent="0.25">
      <c r="A58" s="1669" t="str">
        <f>F!A278</f>
        <v>F59</v>
      </c>
      <c r="B58" s="1669" t="str">
        <f>F!B278</f>
        <v xml:space="preserve">Non-consumptive Uses - Actual or Potential </v>
      </c>
      <c r="C58" s="240" t="str">
        <f>F!C278</f>
        <v>Assuming access permission was granted, select ALL statements that are true of the AA as it currently exists:</v>
      </c>
      <c r="D58" s="191"/>
      <c r="E58" s="191"/>
      <c r="F58" s="192"/>
      <c r="G58" s="603">
        <f>SUM(F59:F62)/4</f>
        <v>0</v>
      </c>
      <c r="H58" s="1721" t="s">
        <v>987</v>
      </c>
      <c r="I58" s="1856"/>
    </row>
    <row r="59" spans="1:9" ht="27" customHeight="1" x14ac:dyDescent="0.2">
      <c r="A59" s="1670"/>
      <c r="B59" s="1670"/>
      <c r="C59" s="813" t="str">
        <f>F!C279</f>
        <v>For an average person, walking is physically possible in (not just near) &gt;5% of the AA during most of the growing season, e.g., free of deep water and dense shrub thickets.</v>
      </c>
      <c r="D59" s="128">
        <f>F!D279</f>
        <v>0</v>
      </c>
      <c r="E59" s="203">
        <v>1</v>
      </c>
      <c r="F59" s="187">
        <f>D59*E59</f>
        <v>0</v>
      </c>
      <c r="G59" s="462"/>
      <c r="H59" s="1703"/>
      <c r="I59" s="1925"/>
    </row>
    <row r="60" spans="1:9" ht="27" customHeight="1" x14ac:dyDescent="0.2">
      <c r="A60" s="1670"/>
      <c r="B60" s="1670"/>
      <c r="C60" s="676" t="str">
        <f>F!C280</f>
        <v>Maintained roads, parking areas, or foot-trails are within 10 m of the AA, or the AA can be accessed part of the year by boats arriving via contiguous waters.</v>
      </c>
      <c r="D60" s="128">
        <f>F!D280</f>
        <v>0</v>
      </c>
      <c r="E60" s="203">
        <v>1</v>
      </c>
      <c r="F60" s="187">
        <f>D60*E60</f>
        <v>0</v>
      </c>
      <c r="G60" s="462"/>
      <c r="H60" s="1703"/>
      <c r="I60" s="1925"/>
    </row>
    <row r="61" spans="1:9" ht="15" customHeight="1" x14ac:dyDescent="0.2">
      <c r="A61" s="1670"/>
      <c r="B61" s="1670"/>
      <c r="C61" s="676" t="str">
        <f>F!C281</f>
        <v xml:space="preserve">Within or near the AA, there is an interpretive center, trails with interpretive signs or brochures, and/or regular guided interpretive tours. </v>
      </c>
      <c r="D61" s="33">
        <f>F!D281</f>
        <v>0</v>
      </c>
      <c r="E61" s="203">
        <v>1</v>
      </c>
      <c r="F61" s="187">
        <f>D61*E61</f>
        <v>0</v>
      </c>
      <c r="G61" s="462"/>
      <c r="H61" s="1703"/>
      <c r="I61" s="1925"/>
    </row>
    <row r="62" spans="1:9" ht="42" customHeight="1" thickBot="1" x14ac:dyDescent="0.25">
      <c r="A62" s="1671"/>
      <c r="B62" s="1671"/>
      <c r="C62" s="948" t="str">
        <f>F!C282</f>
        <v>The percentage of the AA almost never visited by humans during an average growing season probably comprises: [Note: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v>
      </c>
      <c r="D62" s="84">
        <f>F!D282</f>
        <v>0</v>
      </c>
      <c r="E62" s="204">
        <v>1</v>
      </c>
      <c r="F62" s="188">
        <f>D62*E62</f>
        <v>0</v>
      </c>
      <c r="G62" s="463"/>
      <c r="H62" s="1722"/>
      <c r="I62" s="1936"/>
    </row>
    <row r="63" spans="1:9" ht="45" customHeight="1" thickBot="1" x14ac:dyDescent="0.25">
      <c r="A63" s="1669" t="str">
        <f>F!A282</f>
        <v>F60</v>
      </c>
      <c r="B63" s="1669" t="str">
        <f>F!B282</f>
        <v xml:space="preserve">Unvisited Core Area </v>
      </c>
      <c r="C63" s="240" t="str">
        <f>F!C282</f>
        <v>The percentage of the AA almost never visited by humans during an average growing season probably comprises: [Note: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v>
      </c>
      <c r="D63" s="390"/>
      <c r="E63" s="191"/>
      <c r="F63" s="192"/>
      <c r="G63" s="603">
        <f>MAX(F64:F69)/MAX(E64:E69)</f>
        <v>0</v>
      </c>
      <c r="H63" s="1721" t="s">
        <v>530</v>
      </c>
      <c r="I63" s="1856"/>
    </row>
    <row r="64" spans="1:9" ht="15" customHeight="1" x14ac:dyDescent="0.2">
      <c r="A64" s="1670"/>
      <c r="B64" s="1670"/>
      <c r="C64" s="901" t="str">
        <f>F!C283</f>
        <v>&lt;5% and no inhabited building is within 100 m of the AA.</v>
      </c>
      <c r="D64" s="33">
        <f>F!D283</f>
        <v>0</v>
      </c>
      <c r="E64" s="203">
        <v>5</v>
      </c>
      <c r="F64" s="187">
        <f t="shared" ref="F64:F69" si="1">D64*E64</f>
        <v>0</v>
      </c>
      <c r="G64" s="607"/>
      <c r="H64" s="1703"/>
      <c r="I64" s="1925"/>
    </row>
    <row r="65" spans="1:9" ht="15" customHeight="1" x14ac:dyDescent="0.2">
      <c r="A65" s="1670"/>
      <c r="B65" s="1670"/>
      <c r="C65" s="811" t="str">
        <f>F!C284</f>
        <v>&lt;5% and inhabited building is within 100 m of the AA.</v>
      </c>
      <c r="D65" s="33">
        <f>F!D284</f>
        <v>0</v>
      </c>
      <c r="E65" s="203">
        <v>5</v>
      </c>
      <c r="F65" s="187">
        <f t="shared" si="1"/>
        <v>0</v>
      </c>
      <c r="G65" s="608"/>
      <c r="H65" s="1703"/>
      <c r="I65" s="1925"/>
    </row>
    <row r="66" spans="1:9" ht="15" customHeight="1" x14ac:dyDescent="0.2">
      <c r="A66" s="1670"/>
      <c r="B66" s="1670"/>
      <c r="C66" s="811" t="str">
        <f>F!C285</f>
        <v>5-50% and no inhabited building is within 100 m of the AA.</v>
      </c>
      <c r="D66" s="33">
        <f>F!D285</f>
        <v>0</v>
      </c>
      <c r="E66" s="203">
        <v>3</v>
      </c>
      <c r="F66" s="187">
        <f t="shared" si="1"/>
        <v>0</v>
      </c>
      <c r="G66" s="608"/>
      <c r="H66" s="1703"/>
      <c r="I66" s="1925"/>
    </row>
    <row r="67" spans="1:9" ht="15" customHeight="1" x14ac:dyDescent="0.2">
      <c r="A67" s="1670"/>
      <c r="B67" s="1670"/>
      <c r="C67" s="628" t="str">
        <f>F!C286</f>
        <v>5-50% and inhabited building is within 100 m of the AA.</v>
      </c>
      <c r="D67" s="129">
        <f>F!D286</f>
        <v>0</v>
      </c>
      <c r="E67" s="203">
        <v>2</v>
      </c>
      <c r="F67" s="187">
        <f t="shared" si="1"/>
        <v>0</v>
      </c>
      <c r="G67" s="608"/>
      <c r="H67" s="1703"/>
      <c r="I67" s="1925"/>
    </row>
    <row r="68" spans="1:9" ht="15" customHeight="1" x14ac:dyDescent="0.2">
      <c r="A68" s="1670"/>
      <c r="B68" s="1670"/>
      <c r="C68" s="812" t="str">
        <f>F!C287</f>
        <v>50-95%, with or without inhabited building nearby.</v>
      </c>
      <c r="D68" s="183">
        <f>F!D287</f>
        <v>0</v>
      </c>
      <c r="E68" s="203">
        <v>1</v>
      </c>
      <c r="F68" s="187">
        <f t="shared" si="1"/>
        <v>0</v>
      </c>
      <c r="G68" s="608"/>
      <c r="H68" s="1703"/>
      <c r="I68" s="1925"/>
    </row>
    <row r="69" spans="1:9" ht="15" customHeight="1" thickBot="1" x14ac:dyDescent="0.25">
      <c r="A69" s="1671"/>
      <c r="B69" s="1671"/>
      <c r="C69" s="677" t="str">
        <f>F!C288</f>
        <v>&gt;95% of the AA with or without inhabited building nearby.</v>
      </c>
      <c r="D69" s="84">
        <f>F!D288</f>
        <v>0</v>
      </c>
      <c r="E69" s="204">
        <v>0</v>
      </c>
      <c r="F69" s="188">
        <f t="shared" si="1"/>
        <v>0</v>
      </c>
      <c r="G69" s="609"/>
      <c r="H69" s="1722"/>
      <c r="I69" s="1936"/>
    </row>
    <row r="70" spans="1:9" ht="21" customHeight="1" thickBot="1" x14ac:dyDescent="0.25">
      <c r="A70" s="1670" t="str">
        <f>F!A289</f>
        <v>F61</v>
      </c>
      <c r="B70" s="1670" t="str">
        <f>F!B289</f>
        <v>Frequently Visited Area</v>
      </c>
      <c r="C70" s="240" t="str">
        <f>F!C289</f>
        <v>The part of the AA visited by humans almost daily for several weeks during an average growing season probably comprises:  [See note above.]</v>
      </c>
      <c r="D70" s="759"/>
      <c r="E70" s="186"/>
      <c r="F70" s="189"/>
      <c r="G70" s="605">
        <f>MAX(F71:F74)/MAX(E71:E74)</f>
        <v>0</v>
      </c>
      <c r="H70" s="1721" t="s">
        <v>531</v>
      </c>
      <c r="I70" s="1856"/>
    </row>
    <row r="71" spans="1:9" ht="15" customHeight="1" x14ac:dyDescent="0.2">
      <c r="A71" s="1670"/>
      <c r="B71" s="1670"/>
      <c r="C71" s="901" t="str">
        <f>F!C290</f>
        <v>&lt;5%. If F60 was answered "&gt;95%" (mostly never visited), SKIP to F64.</v>
      </c>
      <c r="D71" s="183">
        <f>F!D290</f>
        <v>0</v>
      </c>
      <c r="E71" s="203">
        <v>0</v>
      </c>
      <c r="F71" s="187">
        <f>D71*E71</f>
        <v>0</v>
      </c>
      <c r="G71" s="607"/>
      <c r="H71" s="1703"/>
      <c r="I71" s="1925"/>
    </row>
    <row r="72" spans="1:9" ht="15" customHeight="1" x14ac:dyDescent="0.2">
      <c r="A72" s="1670"/>
      <c r="B72" s="1670"/>
      <c r="C72" s="811" t="str">
        <f>F!C291</f>
        <v>5-50%.</v>
      </c>
      <c r="D72" s="33">
        <f>F!D291</f>
        <v>0</v>
      </c>
      <c r="E72" s="203">
        <v>1</v>
      </c>
      <c r="F72" s="187">
        <f>D72*E72</f>
        <v>0</v>
      </c>
      <c r="G72" s="608"/>
      <c r="H72" s="1703"/>
      <c r="I72" s="1925"/>
    </row>
    <row r="73" spans="1:9" ht="15" customHeight="1" x14ac:dyDescent="0.2">
      <c r="A73" s="1670"/>
      <c r="B73" s="1670"/>
      <c r="C73" s="811" t="str">
        <f>F!C292</f>
        <v>50-95%.</v>
      </c>
      <c r="D73" s="33">
        <f>F!D292</f>
        <v>0</v>
      </c>
      <c r="E73" s="203">
        <v>3</v>
      </c>
      <c r="F73" s="187">
        <f>D73*E73</f>
        <v>0</v>
      </c>
      <c r="G73" s="608"/>
      <c r="H73" s="1703"/>
      <c r="I73" s="1925"/>
    </row>
    <row r="74" spans="1:9" ht="15" customHeight="1" thickBot="1" x14ac:dyDescent="0.25">
      <c r="A74" s="1670"/>
      <c r="B74" s="1670"/>
      <c r="C74" s="677" t="str">
        <f>F!C293</f>
        <v>&gt;95% of the AA.</v>
      </c>
      <c r="D74" s="84">
        <f>F!D293</f>
        <v>0</v>
      </c>
      <c r="E74" s="321">
        <v>3</v>
      </c>
      <c r="F74" s="190">
        <f>D74*E74</f>
        <v>0</v>
      </c>
      <c r="G74" s="610"/>
      <c r="H74" s="1722"/>
      <c r="I74" s="1936"/>
    </row>
    <row r="75" spans="1:9" ht="30" customHeight="1" thickBot="1" x14ac:dyDescent="0.25">
      <c r="A75" s="173" t="str">
        <f>S!A3</f>
        <v>S1</v>
      </c>
      <c r="B75" s="70" t="str">
        <f>S!B3</f>
        <v>Aberrant Timing of Water Inputs</v>
      </c>
      <c r="C75" s="382" t="s">
        <v>2588</v>
      </c>
      <c r="D75" s="121">
        <f>S!F24</f>
        <v>0</v>
      </c>
      <c r="E75" s="210"/>
      <c r="F75" s="199"/>
      <c r="G75" s="603">
        <f>D75</f>
        <v>0</v>
      </c>
      <c r="H75" s="1996" t="s">
        <v>536</v>
      </c>
      <c r="I75" s="1997"/>
    </row>
    <row r="76" spans="1:9" ht="30" customHeight="1" thickBot="1" x14ac:dyDescent="0.25">
      <c r="A76" s="611" t="str">
        <f>S!A25</f>
        <v>S2</v>
      </c>
      <c r="B76" s="437" t="str">
        <f>S!B25</f>
        <v>Accelerated Inputs of Contaminants and/or Salts</v>
      </c>
      <c r="C76" s="382" t="s">
        <v>2588</v>
      </c>
      <c r="D76" s="150">
        <f>S!F37</f>
        <v>0</v>
      </c>
      <c r="E76" s="206"/>
      <c r="F76" s="200"/>
      <c r="G76" s="604">
        <f>D76</f>
        <v>0</v>
      </c>
      <c r="H76" s="1996" t="s">
        <v>537</v>
      </c>
      <c r="I76" s="1997"/>
    </row>
    <row r="77" spans="1:9" ht="30" customHeight="1" thickBot="1" x14ac:dyDescent="0.25">
      <c r="A77" s="173" t="str">
        <f>S!A38</f>
        <v>S3</v>
      </c>
      <c r="B77" s="70" t="str">
        <f>S!B38</f>
        <v>Accelerated Inputs of Nutrients</v>
      </c>
      <c r="C77" s="382" t="s">
        <v>2588</v>
      </c>
      <c r="D77" s="121">
        <f>S!F50</f>
        <v>0</v>
      </c>
      <c r="E77" s="210"/>
      <c r="F77" s="199"/>
      <c r="G77" s="603">
        <f>D77</f>
        <v>0</v>
      </c>
      <c r="H77" s="1996" t="s">
        <v>988</v>
      </c>
      <c r="I77" s="1997"/>
    </row>
    <row r="78" spans="1:9" ht="45" customHeight="1" thickBot="1" x14ac:dyDescent="0.25">
      <c r="A78" s="611" t="str">
        <f>S!A51</f>
        <v>S4</v>
      </c>
      <c r="B78" s="437" t="str">
        <f>S!B51</f>
        <v>Excessive Sediment Loading from Contributing Area</v>
      </c>
      <c r="C78" s="382" t="s">
        <v>2588</v>
      </c>
      <c r="D78" s="150">
        <f>S!F68</f>
        <v>0</v>
      </c>
      <c r="E78" s="206"/>
      <c r="F78" s="200"/>
      <c r="G78" s="604">
        <f>D78</f>
        <v>0</v>
      </c>
      <c r="H78" s="1996" t="s">
        <v>538</v>
      </c>
      <c r="I78" s="1997"/>
    </row>
    <row r="79" spans="1:9" ht="45" customHeight="1" thickBot="1" x14ac:dyDescent="0.25">
      <c r="A79" s="119" t="str">
        <f>S!A69</f>
        <v>S5</v>
      </c>
      <c r="B79" s="70" t="str">
        <f>S!B69</f>
        <v>Soil or Sediment Alteration Within the Assessment Area</v>
      </c>
      <c r="C79" s="382" t="s">
        <v>2588</v>
      </c>
      <c r="D79" s="121">
        <f>S!F86</f>
        <v>0</v>
      </c>
      <c r="E79" s="210"/>
      <c r="F79" s="199"/>
      <c r="G79" s="603">
        <f>D79</f>
        <v>0</v>
      </c>
      <c r="H79" s="1996" t="s">
        <v>539</v>
      </c>
      <c r="I79" s="1997"/>
    </row>
    <row r="80" spans="1:9" ht="21" customHeight="1" thickBot="1" x14ac:dyDescent="0.25">
      <c r="A80" s="1859"/>
      <c r="B80" s="1859"/>
      <c r="C80" s="1859"/>
      <c r="D80" s="2256"/>
      <c r="E80" s="2256"/>
      <c r="F80" s="2256"/>
      <c r="G80" s="2256"/>
      <c r="H80" s="2257"/>
    </row>
    <row r="81" spans="1:9" ht="30" customHeight="1" x14ac:dyDescent="0.2">
      <c r="A81" s="1841"/>
      <c r="B81" s="1841"/>
      <c r="C81" s="1841"/>
      <c r="D81" s="2254" t="s">
        <v>989</v>
      </c>
      <c r="E81" s="2255"/>
      <c r="F81" s="2255"/>
      <c r="G81" s="1042">
        <f>AVERAGE(AltTiming,Constricted)</f>
        <v>0</v>
      </c>
      <c r="H81" s="1476" t="s">
        <v>2335</v>
      </c>
      <c r="I81" s="1302" t="s">
        <v>2178</v>
      </c>
    </row>
    <row r="82" spans="1:9" ht="38.25" customHeight="1" x14ac:dyDescent="0.2">
      <c r="A82" s="1841"/>
      <c r="B82" s="1841"/>
      <c r="C82" s="1841"/>
      <c r="D82" s="2252" t="s">
        <v>990</v>
      </c>
      <c r="E82" s="2253"/>
      <c r="F82" s="2253"/>
      <c r="G82" s="1043">
        <f>AVERAGE(Toxic, ToxicData, Enrich, SedLoad,SoilDisturb,CAimperv,BuffDisturbTyp)</f>
        <v>0</v>
      </c>
      <c r="H82" s="1475" t="s">
        <v>2047</v>
      </c>
      <c r="I82" s="1303" t="s">
        <v>2179</v>
      </c>
    </row>
    <row r="83" spans="1:9" ht="30" customHeight="1" x14ac:dyDescent="0.2">
      <c r="A83" s="1841"/>
      <c r="B83" s="1841"/>
      <c r="C83" s="1841"/>
      <c r="D83" s="2252" t="s">
        <v>991</v>
      </c>
      <c r="E83" s="2253"/>
      <c r="F83" s="2253"/>
      <c r="G83" s="1043">
        <f>AVERAGE(NatVegCA,WeedSource,RdBox)</f>
        <v>0.33333333333333331</v>
      </c>
      <c r="H83" s="1475" t="s">
        <v>2048</v>
      </c>
      <c r="I83" s="1303" t="s">
        <v>2180</v>
      </c>
    </row>
    <row r="84" spans="1:9" ht="30" customHeight="1" thickBot="1" x14ac:dyDescent="0.25">
      <c r="A84" s="1841"/>
      <c r="B84" s="1841"/>
      <c r="C84" s="1841"/>
      <c r="D84" s="2250" t="s">
        <v>992</v>
      </c>
      <c r="E84" s="2251"/>
      <c r="F84" s="2251"/>
      <c r="G84" s="1044">
        <f>AVERAGE(RecUse, Core1,Core2,DistRd, VisibWet, PopCtrDist, OwnerSS,BurnHist)</f>
        <v>0</v>
      </c>
      <c r="H84" s="1477" t="s">
        <v>2049</v>
      </c>
      <c r="I84" s="1304" t="s">
        <v>2181</v>
      </c>
    </row>
    <row r="85" spans="1:9" ht="21" customHeight="1" thickBot="1" x14ac:dyDescent="0.25">
      <c r="A85" s="1841"/>
      <c r="B85" s="1841"/>
      <c r="C85" s="1841"/>
      <c r="D85" s="1841"/>
      <c r="E85" s="1841"/>
      <c r="F85" s="1841"/>
      <c r="G85" s="1841"/>
      <c r="H85" s="1841"/>
    </row>
    <row r="86" spans="1:9" ht="40.5" customHeight="1" thickBot="1" x14ac:dyDescent="0.25">
      <c r="A86" s="1841"/>
      <c r="B86" s="1871"/>
      <c r="C86" s="2258" t="s">
        <v>2448</v>
      </c>
      <c r="D86" s="2259"/>
      <c r="E86" s="2260"/>
      <c r="F86" s="1019" t="s">
        <v>2046</v>
      </c>
      <c r="G86" s="1020">
        <f>10*((MAX(HydroStress, WQstress,FragStress,DisturbStress) + AVERAGE(HydroStress, WQstress,FragStress,DisturbStress))/2)</f>
        <v>2.083333333333333</v>
      </c>
      <c r="H86" s="1807" t="s">
        <v>2050</v>
      </c>
      <c r="I86" s="1808"/>
    </row>
    <row r="87" spans="1:9" ht="21" customHeight="1" x14ac:dyDescent="0.2">
      <c r="B87" s="2"/>
      <c r="C87" s="2249"/>
      <c r="D87" s="2249"/>
      <c r="E87" s="2249"/>
      <c r="F87" s="2249"/>
      <c r="G87" s="2249"/>
      <c r="H87" s="2006"/>
    </row>
  </sheetData>
  <sheetProtection algorithmName="SHA-512" hashValue="ssy5dSHjppUUeMOqKM5eETU/6+Pl4aWCAJd1z+xP2HjywXVJ5MH6WNOyoQf0UNsm8JMwuvVlMeaJOyYBLT/E/Q==" saltValue="Ox3iL3F35eHIkiOAuCCb5g==" spinCount="100000" sheet="1" formatCells="0" formatColumns="0" formatRows="0"/>
  <customSheetViews>
    <customSheetView guid="{B8E02330-2419-4DE6-AD01-7ACC7A5D18DD}" scale="75">
      <selection activeCell="H8" sqref="H8"/>
      <pageMargins left="0.75" right="0.75" top="1" bottom="1" header="0.5" footer="0.5"/>
      <pageSetup orientation="portrait" r:id="rId1"/>
      <headerFooter alignWithMargins="0"/>
    </customSheetView>
  </customSheetViews>
  <mergeCells count="62">
    <mergeCell ref="B49:B53"/>
    <mergeCell ref="A1:B1"/>
    <mergeCell ref="B3:B8"/>
    <mergeCell ref="A3:A8"/>
    <mergeCell ref="A9:A15"/>
    <mergeCell ref="A40:A45"/>
    <mergeCell ref="B9:B15"/>
    <mergeCell ref="B17:B21"/>
    <mergeCell ref="A17:A21"/>
    <mergeCell ref="A36:A39"/>
    <mergeCell ref="B36:B39"/>
    <mergeCell ref="A63:A69"/>
    <mergeCell ref="A22:A25"/>
    <mergeCell ref="A31:A35"/>
    <mergeCell ref="B63:B69"/>
    <mergeCell ref="B31:B35"/>
    <mergeCell ref="B40:B45"/>
    <mergeCell ref="B22:B25"/>
    <mergeCell ref="A58:A62"/>
    <mergeCell ref="B58:B62"/>
    <mergeCell ref="B54:B57"/>
    <mergeCell ref="B26:B30"/>
    <mergeCell ref="B46:B48"/>
    <mergeCell ref="A54:A57"/>
    <mergeCell ref="A26:A30"/>
    <mergeCell ref="A46:A48"/>
    <mergeCell ref="A49:A53"/>
    <mergeCell ref="C87:H87"/>
    <mergeCell ref="D84:F84"/>
    <mergeCell ref="D82:F82"/>
    <mergeCell ref="A70:A74"/>
    <mergeCell ref="B70:B74"/>
    <mergeCell ref="D83:F83"/>
    <mergeCell ref="D81:F81"/>
    <mergeCell ref="D85:H85"/>
    <mergeCell ref="D80:H80"/>
    <mergeCell ref="A80:C85"/>
    <mergeCell ref="H75:I75"/>
    <mergeCell ref="H76:I76"/>
    <mergeCell ref="A86:B86"/>
    <mergeCell ref="C86:E86"/>
    <mergeCell ref="H78:I78"/>
    <mergeCell ref="H79:I79"/>
    <mergeCell ref="H2:I2"/>
    <mergeCell ref="E1:I1"/>
    <mergeCell ref="H3:I8"/>
    <mergeCell ref="H9:I15"/>
    <mergeCell ref="H16:I16"/>
    <mergeCell ref="H26:I30"/>
    <mergeCell ref="H77:I77"/>
    <mergeCell ref="H17:I21"/>
    <mergeCell ref="H31:I35"/>
    <mergeCell ref="H22:I25"/>
    <mergeCell ref="H36:I39"/>
    <mergeCell ref="H40:I45"/>
    <mergeCell ref="H86:I86"/>
    <mergeCell ref="H58:I62"/>
    <mergeCell ref="H63:I69"/>
    <mergeCell ref="H70:I74"/>
    <mergeCell ref="H46:I48"/>
    <mergeCell ref="H49:I53"/>
    <mergeCell ref="H54:I57"/>
  </mergeCells>
  <phoneticPr fontId="3" type="noConversion"/>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3CDDD"/>
  </sheetPr>
  <dimension ref="A1:G307"/>
  <sheetViews>
    <sheetView showRowColHeaders="0" topLeftCell="A228" zoomScaleNormal="100" workbookViewId="0">
      <selection activeCell="G244" sqref="G244"/>
    </sheetView>
  </sheetViews>
  <sheetFormatPr defaultColWidth="9.33203125" defaultRowHeight="15" customHeight="1" x14ac:dyDescent="0.2"/>
  <cols>
    <col min="1" max="1" width="5.83203125" style="621" customWidth="1"/>
    <col min="2" max="2" width="18.83203125" style="632" customWidth="1"/>
    <col min="3" max="3" width="100.83203125" style="181" customWidth="1"/>
    <col min="4" max="4" width="7.83203125" style="24" customWidth="1"/>
    <col min="5" max="5" width="73.83203125" style="24" customWidth="1"/>
    <col min="6" max="6" width="12.83203125" style="24" customWidth="1"/>
    <col min="7" max="7" width="112" style="24" customWidth="1"/>
    <col min="8" max="16384" width="9.33203125" style="24"/>
  </cols>
  <sheetData>
    <row r="1" spans="1:7" s="820" customFormat="1" ht="30" customHeight="1" thickBot="1" x14ac:dyDescent="0.25">
      <c r="A1" s="1691" t="s">
        <v>1701</v>
      </c>
      <c r="B1" s="1692"/>
      <c r="C1" s="1055" t="s">
        <v>2036</v>
      </c>
      <c r="D1" s="1682" t="s">
        <v>2037</v>
      </c>
      <c r="E1" s="1683"/>
      <c r="F1" s="1684"/>
      <c r="G1" s="1684"/>
    </row>
    <row r="2" spans="1:7" s="814" customFormat="1" ht="168" customHeight="1" thickBot="1" x14ac:dyDescent="0.25">
      <c r="A2" s="1679" t="s">
        <v>2915</v>
      </c>
      <c r="B2" s="1680"/>
      <c r="C2" s="1680"/>
      <c r="D2" s="1680"/>
      <c r="E2" s="1681"/>
      <c r="F2" s="1685"/>
      <c r="G2" s="1686"/>
    </row>
    <row r="3" spans="1:7" s="1380" customFormat="1" ht="30" customHeight="1" thickBot="1" x14ac:dyDescent="0.25">
      <c r="A3" s="1376" t="s">
        <v>88</v>
      </c>
      <c r="B3" s="1377" t="s">
        <v>959</v>
      </c>
      <c r="C3" s="1378" t="s">
        <v>1164</v>
      </c>
      <c r="D3" s="1377" t="s">
        <v>45</v>
      </c>
      <c r="E3" s="1381" t="s">
        <v>1898</v>
      </c>
      <c r="F3" s="1382" t="s">
        <v>2427</v>
      </c>
      <c r="G3" s="1379" t="s">
        <v>2428</v>
      </c>
    </row>
    <row r="4" spans="1:7" ht="21" customHeight="1" thickBot="1" x14ac:dyDescent="0.25">
      <c r="A4" s="1705" t="s">
        <v>466</v>
      </c>
      <c r="B4" s="1707" t="s">
        <v>483</v>
      </c>
      <c r="C4" s="1062" t="s">
        <v>2279</v>
      </c>
      <c r="D4" s="1510"/>
      <c r="E4" s="1710" t="s">
        <v>2544</v>
      </c>
      <c r="F4" s="1116"/>
      <c r="G4" s="1273"/>
    </row>
    <row r="5" spans="1:7" ht="45" customHeight="1" thickBot="1" x14ac:dyDescent="0.25">
      <c r="A5" s="1706"/>
      <c r="B5" s="1708"/>
      <c r="C5" s="1509" t="s">
        <v>2528</v>
      </c>
      <c r="D5" s="1511"/>
      <c r="E5" s="1711"/>
      <c r="F5" s="1116"/>
      <c r="G5" s="1273"/>
    </row>
    <row r="6" spans="1:7" ht="69.75" customHeight="1" x14ac:dyDescent="0.2">
      <c r="A6" s="1704"/>
      <c r="B6" s="1709"/>
      <c r="C6" s="1105" t="s">
        <v>2529</v>
      </c>
      <c r="D6" s="1595">
        <v>0</v>
      </c>
      <c r="E6" s="1694"/>
      <c r="F6" s="1116"/>
      <c r="G6" s="1273"/>
    </row>
    <row r="7" spans="1:7" ht="42" customHeight="1" thickBot="1" x14ac:dyDescent="0.25">
      <c r="A7" s="1704"/>
      <c r="B7" s="1709"/>
      <c r="C7" s="1105" t="s">
        <v>2530</v>
      </c>
      <c r="D7" s="1595">
        <v>0</v>
      </c>
      <c r="E7" s="1694"/>
      <c r="F7" s="1116" t="s">
        <v>2408</v>
      </c>
      <c r="G7" s="1273"/>
    </row>
    <row r="8" spans="1:7" ht="30" customHeight="1" thickBot="1" x14ac:dyDescent="0.25">
      <c r="A8" s="1704"/>
      <c r="B8" s="1709"/>
      <c r="C8" s="1509" t="s">
        <v>2278</v>
      </c>
      <c r="D8" s="1512"/>
      <c r="E8" s="1694"/>
      <c r="F8" s="1116"/>
      <c r="G8" s="1273"/>
    </row>
    <row r="9" spans="1:7" ht="27" customHeight="1" x14ac:dyDescent="0.2">
      <c r="A9" s="1704"/>
      <c r="B9" s="1709"/>
      <c r="C9" s="1063" t="s">
        <v>2362</v>
      </c>
      <c r="D9" s="1595">
        <v>0</v>
      </c>
      <c r="E9" s="1694"/>
      <c r="F9" s="1116"/>
      <c r="G9" s="1273"/>
    </row>
    <row r="10" spans="1:7" ht="42" customHeight="1" thickBot="1" x14ac:dyDescent="0.25">
      <c r="A10" s="1704"/>
      <c r="B10" s="1709"/>
      <c r="C10" s="1112" t="s">
        <v>2363</v>
      </c>
      <c r="D10" s="1596">
        <v>0</v>
      </c>
      <c r="E10" s="1694"/>
      <c r="F10" s="1116" t="s">
        <v>2407</v>
      </c>
      <c r="G10" s="1273"/>
    </row>
    <row r="11" spans="1:7" ht="122.25" customHeight="1" thickBot="1" x14ac:dyDescent="0.25">
      <c r="A11" s="1701" t="s">
        <v>2678</v>
      </c>
      <c r="B11" s="1702"/>
      <c r="C11" s="1702"/>
      <c r="D11" s="1541"/>
      <c r="E11" s="1383"/>
      <c r="F11" s="1116"/>
      <c r="G11" s="1273"/>
    </row>
    <row r="12" spans="1:7" ht="45" customHeight="1" thickBot="1" x14ac:dyDescent="0.25">
      <c r="A12" s="1703" t="s">
        <v>73</v>
      </c>
      <c r="B12" s="1719" t="s">
        <v>1224</v>
      </c>
      <c r="C12" s="1057" t="s">
        <v>2420</v>
      </c>
      <c r="D12" s="1387"/>
      <c r="E12" s="1670" t="s">
        <v>2571</v>
      </c>
      <c r="F12" s="1116"/>
      <c r="G12" s="1273"/>
    </row>
    <row r="13" spans="1:7" ht="15" customHeight="1" x14ac:dyDescent="0.2">
      <c r="A13" s="1704"/>
      <c r="B13" s="1709"/>
      <c r="C13" s="1106" t="s">
        <v>2681</v>
      </c>
      <c r="D13" s="1595">
        <v>0</v>
      </c>
      <c r="E13" s="1694"/>
      <c r="F13" s="1116"/>
      <c r="G13" s="1273"/>
    </row>
    <row r="14" spans="1:7" ht="15" customHeight="1" x14ac:dyDescent="0.2">
      <c r="A14" s="1704"/>
      <c r="B14" s="1709"/>
      <c r="C14" s="1107" t="s">
        <v>2682</v>
      </c>
      <c r="D14" s="1595">
        <v>0</v>
      </c>
      <c r="E14" s="1694"/>
      <c r="F14" s="1116"/>
      <c r="G14" s="1273"/>
    </row>
    <row r="15" spans="1:7" ht="15" customHeight="1" x14ac:dyDescent="0.2">
      <c r="A15" s="1704"/>
      <c r="B15" s="1709"/>
      <c r="C15" s="1107" t="s">
        <v>2683</v>
      </c>
      <c r="D15" s="1595">
        <v>0</v>
      </c>
      <c r="E15" s="1694"/>
      <c r="F15" s="1116"/>
      <c r="G15" s="1273"/>
    </row>
    <row r="16" spans="1:7" ht="15" customHeight="1" thickBot="1" x14ac:dyDescent="0.25">
      <c r="A16" s="1704"/>
      <c r="B16" s="1709"/>
      <c r="C16" s="1108" t="s">
        <v>2684</v>
      </c>
      <c r="D16" s="1597">
        <v>0</v>
      </c>
      <c r="E16" s="1694"/>
      <c r="F16" s="1116"/>
      <c r="G16" s="1273"/>
    </row>
    <row r="17" spans="1:7" ht="45" customHeight="1" thickBot="1" x14ac:dyDescent="0.25">
      <c r="A17" s="1721" t="s">
        <v>74</v>
      </c>
      <c r="B17" s="1720" t="s">
        <v>1334</v>
      </c>
      <c r="C17" s="89" t="s">
        <v>2531</v>
      </c>
      <c r="D17" s="1388"/>
      <c r="E17" s="1669" t="s">
        <v>2545</v>
      </c>
      <c r="F17" s="1116"/>
      <c r="G17" s="1273"/>
    </row>
    <row r="18" spans="1:7" ht="15" customHeight="1" x14ac:dyDescent="0.2">
      <c r="A18" s="1703"/>
      <c r="B18" s="1709"/>
      <c r="C18" s="1109" t="s">
        <v>1961</v>
      </c>
      <c r="D18" s="1542">
        <v>0</v>
      </c>
      <c r="E18" s="1694"/>
      <c r="F18" s="1116"/>
      <c r="G18" s="1273"/>
    </row>
    <row r="19" spans="1:7" ht="15" customHeight="1" x14ac:dyDescent="0.2">
      <c r="A19" s="1703"/>
      <c r="B19" s="1709"/>
      <c r="C19" s="1110" t="s">
        <v>1962</v>
      </c>
      <c r="D19" s="1542">
        <v>0</v>
      </c>
      <c r="E19" s="1694"/>
      <c r="F19" s="1116"/>
      <c r="G19" s="1273"/>
    </row>
    <row r="20" spans="1:7" ht="15" customHeight="1" x14ac:dyDescent="0.2">
      <c r="A20" s="1703"/>
      <c r="B20" s="1709"/>
      <c r="C20" s="398" t="s">
        <v>2305</v>
      </c>
      <c r="D20" s="1542">
        <v>0</v>
      </c>
      <c r="E20" s="1694"/>
      <c r="F20" s="1116"/>
      <c r="G20" s="1273"/>
    </row>
    <row r="21" spans="1:7" ht="15" customHeight="1" x14ac:dyDescent="0.2">
      <c r="A21" s="1703"/>
      <c r="B21" s="1709"/>
      <c r="C21" s="1110" t="s">
        <v>2306</v>
      </c>
      <c r="D21" s="1542">
        <v>0</v>
      </c>
      <c r="E21" s="1694"/>
      <c r="F21" s="1116"/>
      <c r="G21" s="1273"/>
    </row>
    <row r="22" spans="1:7" ht="15" customHeight="1" x14ac:dyDescent="0.2">
      <c r="A22" s="1703"/>
      <c r="B22" s="1709"/>
      <c r="C22" s="398" t="s">
        <v>2307</v>
      </c>
      <c r="D22" s="1542">
        <v>0</v>
      </c>
      <c r="E22" s="1694"/>
      <c r="F22" s="1116"/>
      <c r="G22" s="1273"/>
    </row>
    <row r="23" spans="1:7" ht="15" customHeight="1" thickBot="1" x14ac:dyDescent="0.25">
      <c r="A23" s="1703"/>
      <c r="B23" s="1709"/>
      <c r="C23" s="1110" t="s">
        <v>2421</v>
      </c>
      <c r="D23" s="1542">
        <v>0</v>
      </c>
      <c r="E23" s="1694"/>
      <c r="F23" s="1116"/>
      <c r="G23" s="1273"/>
    </row>
    <row r="24" spans="1:7" ht="21" customHeight="1" thickBot="1" x14ac:dyDescent="0.25">
      <c r="A24" s="1689" t="s">
        <v>2679</v>
      </c>
      <c r="B24" s="1690"/>
      <c r="C24" s="1690"/>
      <c r="D24" s="1541"/>
      <c r="E24" s="1384"/>
      <c r="F24" s="1116"/>
      <c r="G24" s="1273"/>
    </row>
    <row r="25" spans="1:7" ht="21" customHeight="1" thickBot="1" x14ac:dyDescent="0.25">
      <c r="A25" s="1733" t="s">
        <v>420</v>
      </c>
      <c r="B25" s="1718" t="s">
        <v>1594</v>
      </c>
      <c r="C25" s="626" t="s">
        <v>2532</v>
      </c>
      <c r="D25" s="1543"/>
      <c r="E25" s="1696" t="s">
        <v>2194</v>
      </c>
      <c r="F25" s="1116"/>
      <c r="G25" s="1273"/>
    </row>
    <row r="26" spans="1:7" ht="15" customHeight="1" x14ac:dyDescent="0.2">
      <c r="A26" s="1733"/>
      <c r="B26" s="1709"/>
      <c r="C26" s="1109" t="s">
        <v>2350</v>
      </c>
      <c r="D26" s="1515">
        <v>0</v>
      </c>
      <c r="E26" s="1694"/>
      <c r="F26" s="1116"/>
      <c r="G26" s="1273"/>
    </row>
    <row r="27" spans="1:7" ht="15" customHeight="1" thickBot="1" x14ac:dyDescent="0.25">
      <c r="A27" s="1734"/>
      <c r="B27" s="1717"/>
      <c r="C27" s="399" t="s">
        <v>2349</v>
      </c>
      <c r="D27" s="1515">
        <v>0</v>
      </c>
      <c r="E27" s="1695"/>
      <c r="F27" s="1116"/>
      <c r="G27" s="1273"/>
    </row>
    <row r="28" spans="1:7" ht="30" customHeight="1" thickBot="1" x14ac:dyDescent="0.25">
      <c r="A28" s="1703" t="s">
        <v>467</v>
      </c>
      <c r="B28" s="1718" t="s">
        <v>453</v>
      </c>
      <c r="C28" s="626" t="s">
        <v>1783</v>
      </c>
      <c r="D28" s="1543"/>
      <c r="E28" s="1696" t="s">
        <v>2250</v>
      </c>
      <c r="F28" s="1116"/>
      <c r="G28" s="1273"/>
    </row>
    <row r="29" spans="1:7" ht="15" customHeight="1" x14ac:dyDescent="0.2">
      <c r="A29" s="1703"/>
      <c r="B29" s="1709"/>
      <c r="C29" s="1109" t="s">
        <v>1963</v>
      </c>
      <c r="D29" s="1515">
        <v>0</v>
      </c>
      <c r="E29" s="1694"/>
      <c r="F29" s="1116"/>
      <c r="G29" s="1273"/>
    </row>
    <row r="30" spans="1:7" ht="15" customHeight="1" x14ac:dyDescent="0.2">
      <c r="A30" s="1703"/>
      <c r="B30" s="1709"/>
      <c r="C30" s="398" t="s">
        <v>1964</v>
      </c>
      <c r="D30" s="1515">
        <v>0</v>
      </c>
      <c r="E30" s="1694"/>
      <c r="F30" s="1116"/>
      <c r="G30" s="1273"/>
    </row>
    <row r="31" spans="1:7" ht="15" customHeight="1" x14ac:dyDescent="0.2">
      <c r="A31" s="1703"/>
      <c r="B31" s="1709"/>
      <c r="C31" s="1018" t="s">
        <v>1965</v>
      </c>
      <c r="D31" s="1515">
        <v>0</v>
      </c>
      <c r="E31" s="1694"/>
      <c r="F31" s="1116"/>
      <c r="G31" s="1273"/>
    </row>
    <row r="32" spans="1:7" ht="15" customHeight="1" x14ac:dyDescent="0.2">
      <c r="A32" s="1703"/>
      <c r="B32" s="1709"/>
      <c r="C32" s="1110" t="s">
        <v>1966</v>
      </c>
      <c r="D32" s="1515">
        <v>0</v>
      </c>
      <c r="E32" s="1694"/>
      <c r="F32" s="1116"/>
      <c r="G32" s="1273"/>
    </row>
    <row r="33" spans="1:7" ht="15" customHeight="1" x14ac:dyDescent="0.2">
      <c r="A33" s="1703"/>
      <c r="B33" s="1709"/>
      <c r="C33" s="398" t="s">
        <v>1967</v>
      </c>
      <c r="D33" s="1515">
        <v>0</v>
      </c>
      <c r="E33" s="1694"/>
      <c r="F33" s="1116"/>
      <c r="G33" s="1273"/>
    </row>
    <row r="34" spans="1:7" ht="15" customHeight="1" x14ac:dyDescent="0.2">
      <c r="A34" s="1703"/>
      <c r="B34" s="1709"/>
      <c r="C34" s="1110" t="s">
        <v>1968</v>
      </c>
      <c r="D34" s="1515">
        <v>0</v>
      </c>
      <c r="E34" s="1694"/>
      <c r="F34" s="1116"/>
      <c r="G34" s="1273"/>
    </row>
    <row r="35" spans="1:7" ht="15" customHeight="1" x14ac:dyDescent="0.2">
      <c r="A35" s="1703"/>
      <c r="B35" s="1709"/>
      <c r="C35" s="398" t="s">
        <v>1969</v>
      </c>
      <c r="D35" s="1515">
        <v>0</v>
      </c>
      <c r="E35" s="1694"/>
      <c r="F35" s="1116"/>
      <c r="G35" s="1273"/>
    </row>
    <row r="36" spans="1:7" ht="15" customHeight="1" thickBot="1" x14ac:dyDescent="0.25">
      <c r="A36" s="1703"/>
      <c r="B36" s="1709"/>
      <c r="C36" s="399" t="s">
        <v>1970</v>
      </c>
      <c r="D36" s="1515">
        <v>0</v>
      </c>
      <c r="E36" s="1694"/>
      <c r="F36" s="1116"/>
      <c r="G36" s="1273"/>
    </row>
    <row r="37" spans="1:7" ht="21" customHeight="1" thickBot="1" x14ac:dyDescent="0.25">
      <c r="A37" s="1721" t="s">
        <v>421</v>
      </c>
      <c r="B37" s="1730" t="s">
        <v>1225</v>
      </c>
      <c r="C37" s="1111" t="s">
        <v>2277</v>
      </c>
      <c r="D37" s="1543"/>
      <c r="E37" s="1693" t="s">
        <v>2291</v>
      </c>
      <c r="F37" s="1116"/>
      <c r="G37" s="1273"/>
    </row>
    <row r="38" spans="1:7" ht="40.5" customHeight="1" thickBot="1" x14ac:dyDescent="0.25">
      <c r="A38" s="1703"/>
      <c r="B38" s="1731"/>
      <c r="C38" s="1062" t="s">
        <v>2451</v>
      </c>
      <c r="D38" s="1544"/>
      <c r="E38" s="1696"/>
      <c r="F38" s="1116"/>
      <c r="G38" s="1273"/>
    </row>
    <row r="39" spans="1:7" ht="15" customHeight="1" x14ac:dyDescent="0.2">
      <c r="A39" s="1703"/>
      <c r="B39" s="1731"/>
      <c r="C39" s="1063" t="s">
        <v>2286</v>
      </c>
      <c r="D39" s="1515">
        <v>0</v>
      </c>
      <c r="E39" s="1696"/>
      <c r="F39" s="1116"/>
      <c r="G39" s="1273"/>
    </row>
    <row r="40" spans="1:7" ht="15" customHeight="1" thickBot="1" x14ac:dyDescent="0.25">
      <c r="A40" s="1703"/>
      <c r="B40" s="1731"/>
      <c r="C40" s="1112" t="s">
        <v>2287</v>
      </c>
      <c r="D40" s="1515">
        <v>0</v>
      </c>
      <c r="E40" s="1696"/>
      <c r="F40" s="1116"/>
      <c r="G40" s="1273"/>
    </row>
    <row r="41" spans="1:7" ht="30" customHeight="1" thickBot="1" x14ac:dyDescent="0.25">
      <c r="A41" s="1703"/>
      <c r="B41" s="1731"/>
      <c r="C41" s="1062" t="s">
        <v>2288</v>
      </c>
      <c r="D41" s="1544"/>
      <c r="E41" s="1696"/>
      <c r="F41" s="1116"/>
      <c r="G41" s="1273"/>
    </row>
    <row r="42" spans="1:7" ht="15" customHeight="1" x14ac:dyDescent="0.2">
      <c r="A42" s="1703"/>
      <c r="B42" s="1731"/>
      <c r="C42" s="1063" t="s">
        <v>2289</v>
      </c>
      <c r="D42" s="1515">
        <v>0</v>
      </c>
      <c r="E42" s="1696"/>
      <c r="F42" s="1116"/>
      <c r="G42" s="1273"/>
    </row>
    <row r="43" spans="1:7" ht="27" customHeight="1" thickBot="1" x14ac:dyDescent="0.25">
      <c r="A43" s="1722"/>
      <c r="B43" s="1732"/>
      <c r="C43" s="1064" t="s">
        <v>2290</v>
      </c>
      <c r="D43" s="1515">
        <v>0</v>
      </c>
      <c r="E43" s="1712"/>
      <c r="F43" s="1116"/>
      <c r="G43" s="1273"/>
    </row>
    <row r="44" spans="1:7" ht="21" customHeight="1" thickBot="1" x14ac:dyDescent="0.25">
      <c r="A44" s="1714" t="s">
        <v>470</v>
      </c>
      <c r="B44" s="1718" t="s">
        <v>1226</v>
      </c>
      <c r="C44" s="426" t="s">
        <v>2312</v>
      </c>
      <c r="D44" s="1543"/>
      <c r="E44" s="1696" t="s">
        <v>1937</v>
      </c>
      <c r="F44" s="1116"/>
      <c r="G44" s="1273"/>
    </row>
    <row r="45" spans="1:7" ht="15" customHeight="1" x14ac:dyDescent="0.2">
      <c r="A45" s="1714"/>
      <c r="B45" s="1709"/>
      <c r="C45" s="1109" t="s">
        <v>1971</v>
      </c>
      <c r="D45" s="1515">
        <v>0</v>
      </c>
      <c r="E45" s="1694"/>
      <c r="F45" s="1116"/>
      <c r="G45" s="1273"/>
    </row>
    <row r="46" spans="1:7" ht="15" customHeight="1" x14ac:dyDescent="0.2">
      <c r="A46" s="1714"/>
      <c r="B46" s="1709"/>
      <c r="C46" s="398" t="s">
        <v>1420</v>
      </c>
      <c r="D46" s="1515">
        <v>0</v>
      </c>
      <c r="E46" s="1694"/>
      <c r="F46" s="1116"/>
      <c r="G46" s="1273"/>
    </row>
    <row r="47" spans="1:7" ht="15" customHeight="1" thickBot="1" x14ac:dyDescent="0.25">
      <c r="A47" s="1714"/>
      <c r="B47" s="1709"/>
      <c r="C47" s="1110" t="s">
        <v>1421</v>
      </c>
      <c r="D47" s="1515">
        <v>0</v>
      </c>
      <c r="E47" s="1694"/>
      <c r="F47" s="1116"/>
      <c r="G47" s="1273"/>
    </row>
    <row r="48" spans="1:7" ht="21" customHeight="1" thickBot="1" x14ac:dyDescent="0.25">
      <c r="A48" s="1721" t="s">
        <v>6</v>
      </c>
      <c r="B48" s="1716" t="s">
        <v>264</v>
      </c>
      <c r="C48" s="89" t="s">
        <v>1241</v>
      </c>
      <c r="D48" s="1543"/>
      <c r="E48" s="1693" t="s">
        <v>1938</v>
      </c>
      <c r="F48" s="1116"/>
      <c r="G48" s="1273"/>
    </row>
    <row r="49" spans="1:7" ht="15" customHeight="1" x14ac:dyDescent="0.2">
      <c r="A49" s="1703"/>
      <c r="B49" s="1709"/>
      <c r="C49" s="1113" t="s">
        <v>1240</v>
      </c>
      <c r="D49" s="1515">
        <v>0</v>
      </c>
      <c r="E49" s="1694"/>
      <c r="F49" s="1116"/>
      <c r="G49" s="1273"/>
    </row>
    <row r="50" spans="1:7" ht="15" customHeight="1" thickBot="1" x14ac:dyDescent="0.25">
      <c r="A50" s="1722"/>
      <c r="B50" s="1717"/>
      <c r="C50" s="399" t="s">
        <v>1242</v>
      </c>
      <c r="D50" s="1515">
        <v>0</v>
      </c>
      <c r="E50" s="1695"/>
      <c r="F50" s="1116"/>
      <c r="G50" s="1273"/>
    </row>
    <row r="51" spans="1:7" ht="28.5" customHeight="1" thickBot="1" x14ac:dyDescent="0.25">
      <c r="A51" s="1713" t="s">
        <v>7</v>
      </c>
      <c r="B51" s="1716" t="s">
        <v>28</v>
      </c>
      <c r="C51" s="88" t="s">
        <v>2422</v>
      </c>
      <c r="D51" s="1543"/>
      <c r="E51" s="1693" t="s">
        <v>1939</v>
      </c>
      <c r="F51" s="1116"/>
      <c r="G51" s="1273"/>
    </row>
    <row r="52" spans="1:7" ht="15" customHeight="1" x14ac:dyDescent="0.2">
      <c r="A52" s="1714"/>
      <c r="B52" s="1709"/>
      <c r="C52" s="1109" t="s">
        <v>2685</v>
      </c>
      <c r="D52" s="1515">
        <v>0</v>
      </c>
      <c r="E52" s="1694"/>
      <c r="F52" s="1116"/>
      <c r="G52" s="1273"/>
    </row>
    <row r="53" spans="1:7" ht="15" customHeight="1" x14ac:dyDescent="0.2">
      <c r="A53" s="1714"/>
      <c r="B53" s="1709"/>
      <c r="C53" s="398" t="s">
        <v>2308</v>
      </c>
      <c r="D53" s="1515">
        <v>0</v>
      </c>
      <c r="E53" s="1694"/>
      <c r="F53" s="1116"/>
      <c r="G53" s="1273"/>
    </row>
    <row r="54" spans="1:7" ht="15" customHeight="1" x14ac:dyDescent="0.2">
      <c r="A54" s="1714"/>
      <c r="B54" s="1709"/>
      <c r="C54" s="398" t="s">
        <v>2309</v>
      </c>
      <c r="D54" s="1515">
        <v>0</v>
      </c>
      <c r="E54" s="1694"/>
      <c r="F54" s="1116"/>
      <c r="G54" s="1273"/>
    </row>
    <row r="55" spans="1:7" ht="15" customHeight="1" x14ac:dyDescent="0.2">
      <c r="A55" s="1714"/>
      <c r="B55" s="1709"/>
      <c r="C55" s="398" t="s">
        <v>2310</v>
      </c>
      <c r="D55" s="1515">
        <v>0</v>
      </c>
      <c r="E55" s="1694"/>
      <c r="F55" s="1116"/>
      <c r="G55" s="1273"/>
    </row>
    <row r="56" spans="1:7" ht="15" customHeight="1" thickBot="1" x14ac:dyDescent="0.25">
      <c r="A56" s="1715"/>
      <c r="B56" s="1717"/>
      <c r="C56" s="399" t="s">
        <v>2311</v>
      </c>
      <c r="D56" s="1515">
        <v>0</v>
      </c>
      <c r="E56" s="1695"/>
      <c r="F56" s="1116"/>
      <c r="G56" s="1273"/>
    </row>
    <row r="57" spans="1:7" ht="30" customHeight="1" thickBot="1" x14ac:dyDescent="0.25">
      <c r="A57" s="1714" t="s">
        <v>47</v>
      </c>
      <c r="B57" s="1718" t="s">
        <v>1894</v>
      </c>
      <c r="C57" s="426" t="s">
        <v>2313</v>
      </c>
      <c r="D57" s="1543"/>
      <c r="E57" s="1696" t="s">
        <v>1940</v>
      </c>
      <c r="F57" s="1116"/>
      <c r="G57" s="1273"/>
    </row>
    <row r="58" spans="1:7" ht="15" customHeight="1" x14ac:dyDescent="0.2">
      <c r="A58" s="1714"/>
      <c r="B58" s="1709"/>
      <c r="C58" s="1109" t="s">
        <v>1243</v>
      </c>
      <c r="D58" s="1515">
        <v>0</v>
      </c>
      <c r="E58" s="1694"/>
      <c r="F58" s="1116"/>
      <c r="G58" s="1273"/>
    </row>
    <row r="59" spans="1:7" ht="15" customHeight="1" x14ac:dyDescent="0.2">
      <c r="A59" s="1714"/>
      <c r="B59" s="1709"/>
      <c r="C59" s="398" t="s">
        <v>1972</v>
      </c>
      <c r="D59" s="1515">
        <v>0</v>
      </c>
      <c r="E59" s="1694"/>
      <c r="F59" s="1116"/>
      <c r="G59" s="1273"/>
    </row>
    <row r="60" spans="1:7" ht="15" customHeight="1" x14ac:dyDescent="0.2">
      <c r="A60" s="1714"/>
      <c r="B60" s="1709"/>
      <c r="C60" s="398" t="s">
        <v>1973</v>
      </c>
      <c r="D60" s="1515">
        <v>0</v>
      </c>
      <c r="E60" s="1694"/>
      <c r="F60" s="1116"/>
      <c r="G60" s="1273"/>
    </row>
    <row r="61" spans="1:7" ht="15" customHeight="1" x14ac:dyDescent="0.2">
      <c r="A61" s="1714"/>
      <c r="B61" s="1709"/>
      <c r="C61" s="398" t="s">
        <v>1974</v>
      </c>
      <c r="D61" s="1515">
        <v>0</v>
      </c>
      <c r="E61" s="1694"/>
      <c r="F61" s="1116"/>
      <c r="G61" s="1273"/>
    </row>
    <row r="62" spans="1:7" ht="15" customHeight="1" thickBot="1" x14ac:dyDescent="0.25">
      <c r="A62" s="1714"/>
      <c r="B62" s="1709"/>
      <c r="C62" s="1110" t="s">
        <v>1975</v>
      </c>
      <c r="D62" s="1515">
        <v>0</v>
      </c>
      <c r="E62" s="1694"/>
      <c r="F62" s="1116"/>
      <c r="G62" s="1273"/>
    </row>
    <row r="63" spans="1:7" ht="30" customHeight="1" thickBot="1" x14ac:dyDescent="0.25">
      <c r="A63" s="1713" t="s">
        <v>454</v>
      </c>
      <c r="B63" s="1716" t="s">
        <v>1244</v>
      </c>
      <c r="C63" s="89" t="s">
        <v>1427</v>
      </c>
      <c r="D63" s="1543"/>
      <c r="E63" s="1693" t="s">
        <v>2546</v>
      </c>
      <c r="F63" s="1116"/>
      <c r="G63" s="1273"/>
    </row>
    <row r="64" spans="1:7" ht="40.5" customHeight="1" x14ac:dyDescent="0.2">
      <c r="A64" s="1714"/>
      <c r="B64" s="1709"/>
      <c r="C64" s="1109" t="s">
        <v>1245</v>
      </c>
      <c r="D64" s="1515">
        <v>0</v>
      </c>
      <c r="E64" s="1694"/>
      <c r="F64" s="1116"/>
      <c r="G64" s="1273"/>
    </row>
    <row r="65" spans="1:7" ht="28.5" customHeight="1" x14ac:dyDescent="0.2">
      <c r="A65" s="1714"/>
      <c r="B65" s="1709"/>
      <c r="C65" s="398" t="s">
        <v>1170</v>
      </c>
      <c r="D65" s="1515">
        <v>0</v>
      </c>
      <c r="E65" s="1694"/>
      <c r="F65" s="1116"/>
      <c r="G65" s="1273"/>
    </row>
    <row r="66" spans="1:7" ht="27" customHeight="1" x14ac:dyDescent="0.2">
      <c r="A66" s="1714"/>
      <c r="B66" s="1709"/>
      <c r="C66" s="398" t="s">
        <v>1171</v>
      </c>
      <c r="D66" s="1515">
        <v>0</v>
      </c>
      <c r="E66" s="1694"/>
      <c r="F66" s="1116"/>
      <c r="G66" s="1273"/>
    </row>
    <row r="67" spans="1:7" ht="15" customHeight="1" x14ac:dyDescent="0.2">
      <c r="A67" s="1714"/>
      <c r="B67" s="1709"/>
      <c r="C67" s="398" t="s">
        <v>1976</v>
      </c>
      <c r="D67" s="1515">
        <v>0</v>
      </c>
      <c r="E67" s="1694"/>
      <c r="F67" s="1116"/>
      <c r="G67" s="1273"/>
    </row>
    <row r="68" spans="1:7" ht="15" customHeight="1" thickBot="1" x14ac:dyDescent="0.25">
      <c r="A68" s="1715"/>
      <c r="B68" s="1717"/>
      <c r="C68" s="399" t="s">
        <v>1428</v>
      </c>
      <c r="D68" s="1542">
        <v>0</v>
      </c>
      <c r="E68" s="1695"/>
      <c r="F68" s="1116"/>
      <c r="G68" s="1273"/>
    </row>
    <row r="69" spans="1:7" ht="45" customHeight="1" thickBot="1" x14ac:dyDescent="0.25">
      <c r="A69" s="1714" t="s">
        <v>50</v>
      </c>
      <c r="B69" s="1718" t="s">
        <v>1246</v>
      </c>
      <c r="C69" s="626" t="s">
        <v>2533</v>
      </c>
      <c r="D69" s="1543"/>
      <c r="E69" s="1696" t="s">
        <v>2547</v>
      </c>
      <c r="F69" s="1116"/>
      <c r="G69" s="1273"/>
    </row>
    <row r="70" spans="1:7" ht="15" customHeight="1" x14ac:dyDescent="0.2">
      <c r="A70" s="1714"/>
      <c r="B70" s="1709"/>
      <c r="C70" s="1109" t="s">
        <v>2314</v>
      </c>
      <c r="D70" s="1515">
        <v>0</v>
      </c>
      <c r="E70" s="1694"/>
      <c r="F70" s="1116"/>
      <c r="G70" s="1273"/>
    </row>
    <row r="71" spans="1:7" ht="15" customHeight="1" x14ac:dyDescent="0.2">
      <c r="A71" s="1714"/>
      <c r="B71" s="1709"/>
      <c r="C71" s="398" t="s">
        <v>1977</v>
      </c>
      <c r="D71" s="1515">
        <v>0</v>
      </c>
      <c r="E71" s="1694"/>
      <c r="F71" s="1116"/>
      <c r="G71" s="1273"/>
    </row>
    <row r="72" spans="1:7" ht="15" customHeight="1" thickBot="1" x14ac:dyDescent="0.25">
      <c r="A72" s="1714"/>
      <c r="B72" s="1709"/>
      <c r="C72" s="1110" t="s">
        <v>1978</v>
      </c>
      <c r="D72" s="1515">
        <v>0</v>
      </c>
      <c r="E72" s="1694"/>
      <c r="F72" s="1116"/>
      <c r="G72" s="1273"/>
    </row>
    <row r="73" spans="1:7" ht="21" customHeight="1" thickBot="1" x14ac:dyDescent="0.25">
      <c r="A73" s="1713" t="s">
        <v>455</v>
      </c>
      <c r="B73" s="1716" t="s">
        <v>64</v>
      </c>
      <c r="C73" s="89" t="s">
        <v>2488</v>
      </c>
      <c r="D73" s="1543"/>
      <c r="E73" s="1693" t="s">
        <v>1941</v>
      </c>
      <c r="F73" s="1116"/>
      <c r="G73" s="1273"/>
    </row>
    <row r="74" spans="1:7" ht="15" customHeight="1" x14ac:dyDescent="0.2">
      <c r="A74" s="1714"/>
      <c r="B74" s="1709"/>
      <c r="C74" s="1109" t="s">
        <v>1979</v>
      </c>
      <c r="D74" s="1515">
        <v>0</v>
      </c>
      <c r="E74" s="1694"/>
      <c r="F74" s="1116"/>
      <c r="G74" s="1273"/>
    </row>
    <row r="75" spans="1:7" ht="15" customHeight="1" x14ac:dyDescent="0.2">
      <c r="A75" s="1714"/>
      <c r="B75" s="1709"/>
      <c r="C75" s="398" t="s">
        <v>1112</v>
      </c>
      <c r="D75" s="1515">
        <v>0</v>
      </c>
      <c r="E75" s="1694"/>
      <c r="F75" s="1116"/>
      <c r="G75" s="1273"/>
    </row>
    <row r="76" spans="1:7" ht="15" customHeight="1" thickBot="1" x14ac:dyDescent="0.25">
      <c r="A76" s="1715"/>
      <c r="B76" s="1717"/>
      <c r="C76" s="399" t="s">
        <v>1113</v>
      </c>
      <c r="D76" s="1515">
        <v>0</v>
      </c>
      <c r="E76" s="1695"/>
      <c r="F76" s="1116"/>
      <c r="G76" s="1273"/>
    </row>
    <row r="77" spans="1:7" ht="30" customHeight="1" thickBot="1" x14ac:dyDescent="0.25">
      <c r="A77" s="1714" t="s">
        <v>456</v>
      </c>
      <c r="B77" s="1718" t="s">
        <v>951</v>
      </c>
      <c r="C77" s="88" t="s">
        <v>2710</v>
      </c>
      <c r="D77" s="1543"/>
      <c r="E77" s="1696" t="s">
        <v>1942</v>
      </c>
      <c r="F77" s="1116"/>
      <c r="G77" s="1273"/>
    </row>
    <row r="78" spans="1:7" ht="27" customHeight="1" x14ac:dyDescent="0.2">
      <c r="A78" s="1714"/>
      <c r="B78" s="1709"/>
      <c r="C78" s="1109" t="s">
        <v>2566</v>
      </c>
      <c r="D78" s="1542">
        <v>0</v>
      </c>
      <c r="E78" s="1694"/>
      <c r="F78" s="1116"/>
      <c r="G78" s="1273"/>
    </row>
    <row r="79" spans="1:7" ht="27" customHeight="1" x14ac:dyDescent="0.2">
      <c r="A79" s="1714"/>
      <c r="B79" s="1709"/>
      <c r="C79" s="398" t="s">
        <v>2567</v>
      </c>
      <c r="D79" s="1542">
        <v>0</v>
      </c>
      <c r="E79" s="1694"/>
      <c r="F79" s="1116"/>
      <c r="G79" s="1273"/>
    </row>
    <row r="80" spans="1:7" ht="15" customHeight="1" x14ac:dyDescent="0.2">
      <c r="A80" s="1714"/>
      <c r="B80" s="1709"/>
      <c r="C80" s="398" t="s">
        <v>2617</v>
      </c>
      <c r="D80" s="1515">
        <v>0</v>
      </c>
      <c r="E80" s="1694"/>
      <c r="F80" s="1116"/>
      <c r="G80" s="1273"/>
    </row>
    <row r="81" spans="1:7" ht="15" customHeight="1" x14ac:dyDescent="0.2">
      <c r="A81" s="1714"/>
      <c r="B81" s="1709"/>
      <c r="C81" s="398" t="s">
        <v>2618</v>
      </c>
      <c r="D81" s="1542">
        <v>0</v>
      </c>
      <c r="E81" s="1694"/>
      <c r="F81" s="1116"/>
      <c r="G81" s="1273"/>
    </row>
    <row r="82" spans="1:7" ht="27" customHeight="1" thickBot="1" x14ac:dyDescent="0.25">
      <c r="A82" s="1714"/>
      <c r="B82" s="1709"/>
      <c r="C82" s="1110" t="s">
        <v>2568</v>
      </c>
      <c r="D82" s="1542">
        <v>0</v>
      </c>
      <c r="E82" s="1694"/>
      <c r="F82" s="1116"/>
      <c r="G82" s="1273"/>
    </row>
    <row r="83" spans="1:7" ht="30" customHeight="1" thickBot="1" x14ac:dyDescent="0.25">
      <c r="A83" s="1713" t="s">
        <v>281</v>
      </c>
      <c r="B83" s="1716" t="s">
        <v>1247</v>
      </c>
      <c r="C83" s="89" t="s">
        <v>2711</v>
      </c>
      <c r="D83" s="1543"/>
      <c r="E83" s="1693" t="s">
        <v>1943</v>
      </c>
      <c r="F83" s="1116"/>
      <c r="G83" s="1273"/>
    </row>
    <row r="84" spans="1:7" ht="15" customHeight="1" x14ac:dyDescent="0.2">
      <c r="A84" s="1714"/>
      <c r="B84" s="1709"/>
      <c r="C84" s="1109" t="s">
        <v>2712</v>
      </c>
      <c r="D84" s="1542">
        <v>0</v>
      </c>
      <c r="E84" s="1694"/>
      <c r="F84" s="1116"/>
      <c r="G84" s="1273"/>
    </row>
    <row r="85" spans="1:7" ht="15" customHeight="1" x14ac:dyDescent="0.2">
      <c r="A85" s="1714"/>
      <c r="B85" s="1709"/>
      <c r="C85" s="398" t="s">
        <v>1980</v>
      </c>
      <c r="D85" s="1542">
        <v>0</v>
      </c>
      <c r="E85" s="1694"/>
      <c r="F85" s="1116"/>
      <c r="G85" s="1273"/>
    </row>
    <row r="86" spans="1:7" ht="15" customHeight="1" x14ac:dyDescent="0.2">
      <c r="A86" s="1714"/>
      <c r="B86" s="1709"/>
      <c r="C86" s="398" t="s">
        <v>1981</v>
      </c>
      <c r="D86" s="1542">
        <v>0</v>
      </c>
      <c r="E86" s="1694"/>
      <c r="F86" s="1116"/>
      <c r="G86" s="1273"/>
    </row>
    <row r="87" spans="1:7" ht="15" customHeight="1" thickBot="1" x14ac:dyDescent="0.25">
      <c r="A87" s="1715"/>
      <c r="B87" s="1717"/>
      <c r="C87" s="399" t="s">
        <v>1982</v>
      </c>
      <c r="D87" s="1542">
        <v>0</v>
      </c>
      <c r="E87" s="1695"/>
      <c r="F87" s="1116"/>
      <c r="G87" s="1273"/>
    </row>
    <row r="88" spans="1:7" ht="21" customHeight="1" thickBot="1" x14ac:dyDescent="0.25">
      <c r="A88" s="1714" t="s">
        <v>457</v>
      </c>
      <c r="B88" s="1718" t="s">
        <v>1248</v>
      </c>
      <c r="C88" s="88" t="s">
        <v>2534</v>
      </c>
      <c r="D88" s="1543"/>
      <c r="E88" s="1696" t="s">
        <v>2195</v>
      </c>
      <c r="F88" s="1116"/>
      <c r="G88" s="1273"/>
    </row>
    <row r="89" spans="1:7" ht="15" customHeight="1" x14ac:dyDescent="0.2">
      <c r="A89" s="1714"/>
      <c r="B89" s="1709"/>
      <c r="C89" s="1109" t="s">
        <v>1784</v>
      </c>
      <c r="D89" s="1515">
        <v>0</v>
      </c>
      <c r="E89" s="1694"/>
      <c r="F89" s="1116" t="s">
        <v>2384</v>
      </c>
      <c r="G89" s="1273"/>
    </row>
    <row r="90" spans="1:7" ht="15" customHeight="1" x14ac:dyDescent="0.2">
      <c r="A90" s="1714"/>
      <c r="B90" s="1709"/>
      <c r="C90" s="398" t="s">
        <v>1972</v>
      </c>
      <c r="D90" s="1515">
        <v>0</v>
      </c>
      <c r="E90" s="1694"/>
      <c r="F90" s="1116"/>
      <c r="G90" s="1273"/>
    </row>
    <row r="91" spans="1:7" ht="15" customHeight="1" x14ac:dyDescent="0.2">
      <c r="A91" s="1714"/>
      <c r="B91" s="1709"/>
      <c r="C91" s="398" t="s">
        <v>1973</v>
      </c>
      <c r="D91" s="1515">
        <v>0</v>
      </c>
      <c r="E91" s="1694"/>
      <c r="F91" s="1116"/>
      <c r="G91" s="1273"/>
    </row>
    <row r="92" spans="1:7" ht="15" customHeight="1" x14ac:dyDescent="0.2">
      <c r="A92" s="1714"/>
      <c r="B92" s="1709"/>
      <c r="C92" s="398" t="s">
        <v>1974</v>
      </c>
      <c r="D92" s="1515">
        <v>0</v>
      </c>
      <c r="E92" s="1694"/>
      <c r="F92" s="1116"/>
      <c r="G92" s="1273"/>
    </row>
    <row r="93" spans="1:7" ht="15" customHeight="1" thickBot="1" x14ac:dyDescent="0.25">
      <c r="A93" s="1714"/>
      <c r="B93" s="1709"/>
      <c r="C93" s="1110" t="s">
        <v>1975</v>
      </c>
      <c r="D93" s="1515">
        <v>0</v>
      </c>
      <c r="E93" s="1694"/>
      <c r="F93" s="1116"/>
      <c r="G93" s="1273"/>
    </row>
    <row r="94" spans="1:7" ht="21" customHeight="1" thickBot="1" x14ac:dyDescent="0.25">
      <c r="A94" s="1713" t="s">
        <v>422</v>
      </c>
      <c r="B94" s="1716" t="s">
        <v>1249</v>
      </c>
      <c r="C94" s="89" t="s">
        <v>1250</v>
      </c>
      <c r="D94" s="1543"/>
      <c r="E94" s="1693" t="s">
        <v>2465</v>
      </c>
      <c r="F94" s="1116"/>
      <c r="G94" s="1273"/>
    </row>
    <row r="95" spans="1:7" ht="15" customHeight="1" x14ac:dyDescent="0.2">
      <c r="A95" s="1714"/>
      <c r="B95" s="1709"/>
      <c r="C95" s="1109" t="s">
        <v>1251</v>
      </c>
      <c r="D95" s="1515">
        <v>0</v>
      </c>
      <c r="E95" s="1694"/>
      <c r="F95" s="1116"/>
      <c r="G95" s="1273"/>
    </row>
    <row r="96" spans="1:7" ht="15" customHeight="1" x14ac:dyDescent="0.2">
      <c r="A96" s="1714"/>
      <c r="B96" s="1709"/>
      <c r="C96" s="398" t="s">
        <v>1983</v>
      </c>
      <c r="D96" s="1515">
        <v>0</v>
      </c>
      <c r="E96" s="1694"/>
      <c r="F96" s="1116"/>
      <c r="G96" s="1273"/>
    </row>
    <row r="97" spans="1:7" ht="15" customHeight="1" x14ac:dyDescent="0.2">
      <c r="A97" s="1714"/>
      <c r="B97" s="1709"/>
      <c r="C97" s="398" t="s">
        <v>1984</v>
      </c>
      <c r="D97" s="1515">
        <v>0</v>
      </c>
      <c r="E97" s="1694"/>
      <c r="F97" s="1116"/>
      <c r="G97" s="1273"/>
    </row>
    <row r="98" spans="1:7" ht="15" customHeight="1" x14ac:dyDescent="0.2">
      <c r="A98" s="1714"/>
      <c r="B98" s="1709"/>
      <c r="C98" s="398" t="s">
        <v>1985</v>
      </c>
      <c r="D98" s="1515">
        <v>0</v>
      </c>
      <c r="E98" s="1694"/>
      <c r="F98" s="1116"/>
      <c r="G98" s="1273"/>
    </row>
    <row r="99" spans="1:7" ht="15" customHeight="1" thickBot="1" x14ac:dyDescent="0.25">
      <c r="A99" s="1715"/>
      <c r="B99" s="1717"/>
      <c r="C99" s="399" t="s">
        <v>1986</v>
      </c>
      <c r="D99" s="1515">
        <v>0</v>
      </c>
      <c r="E99" s="1695"/>
      <c r="F99" s="1116" t="s">
        <v>2385</v>
      </c>
      <c r="G99" s="1273"/>
    </row>
    <row r="100" spans="1:7" ht="21" customHeight="1" thickBot="1" x14ac:dyDescent="0.25">
      <c r="A100" s="1714" t="s">
        <v>48</v>
      </c>
      <c r="B100" s="1718" t="s">
        <v>1252</v>
      </c>
      <c r="C100" s="88" t="s">
        <v>2464</v>
      </c>
      <c r="D100" s="1543"/>
      <c r="E100" s="1696" t="s">
        <v>1944</v>
      </c>
      <c r="F100" s="1116"/>
      <c r="G100" s="1273"/>
    </row>
    <row r="101" spans="1:7" ht="15" customHeight="1" x14ac:dyDescent="0.2">
      <c r="A101" s="1714"/>
      <c r="B101" s="1709"/>
      <c r="C101" s="1109" t="s">
        <v>1987</v>
      </c>
      <c r="D101" s="1515">
        <v>0</v>
      </c>
      <c r="E101" s="1694"/>
      <c r="F101" s="1116"/>
      <c r="G101" s="1273"/>
    </row>
    <row r="102" spans="1:7" ht="15" customHeight="1" x14ac:dyDescent="0.2">
      <c r="A102" s="1714"/>
      <c r="B102" s="1709"/>
      <c r="C102" s="398" t="s">
        <v>1988</v>
      </c>
      <c r="D102" s="1515">
        <v>0</v>
      </c>
      <c r="E102" s="1694"/>
      <c r="F102" s="1116"/>
      <c r="G102" s="1273"/>
    </row>
    <row r="103" spans="1:7" ht="15" customHeight="1" x14ac:dyDescent="0.2">
      <c r="A103" s="1714"/>
      <c r="B103" s="1709"/>
      <c r="C103" s="398" t="s">
        <v>1989</v>
      </c>
      <c r="D103" s="1515">
        <v>0</v>
      </c>
      <c r="E103" s="1694"/>
      <c r="F103" s="1116"/>
      <c r="G103" s="1273"/>
    </row>
    <row r="104" spans="1:7" ht="15" customHeight="1" thickBot="1" x14ac:dyDescent="0.25">
      <c r="A104" s="1714"/>
      <c r="B104" s="1709"/>
      <c r="C104" s="1110" t="s">
        <v>1990</v>
      </c>
      <c r="D104" s="1515">
        <v>0</v>
      </c>
      <c r="E104" s="1694"/>
      <c r="F104" s="1116"/>
      <c r="G104" s="1273"/>
    </row>
    <row r="105" spans="1:7" ht="30" customHeight="1" thickBot="1" x14ac:dyDescent="0.25">
      <c r="A105" s="1713" t="s">
        <v>471</v>
      </c>
      <c r="B105" s="1716" t="s">
        <v>1253</v>
      </c>
      <c r="C105" s="89" t="s">
        <v>2485</v>
      </c>
      <c r="D105" s="1543"/>
      <c r="E105" s="1693" t="s">
        <v>2429</v>
      </c>
      <c r="F105" s="1116"/>
      <c r="G105" s="1273"/>
    </row>
    <row r="106" spans="1:7" ht="15" customHeight="1" x14ac:dyDescent="0.2">
      <c r="A106" s="1714"/>
      <c r="B106" s="1709"/>
      <c r="C106" s="1109" t="s">
        <v>2535</v>
      </c>
      <c r="D106" s="1515">
        <v>0</v>
      </c>
      <c r="E106" s="1694"/>
      <c r="F106" s="1116"/>
      <c r="G106" s="1273"/>
    </row>
    <row r="107" spans="1:7" ht="21.75" customHeight="1" thickBot="1" x14ac:dyDescent="0.25">
      <c r="A107" s="1715"/>
      <c r="B107" s="1717"/>
      <c r="C107" s="399" t="s">
        <v>2484</v>
      </c>
      <c r="D107" s="1515">
        <v>0</v>
      </c>
      <c r="E107" s="1695"/>
      <c r="F107" s="1116"/>
      <c r="G107" s="1273"/>
    </row>
    <row r="108" spans="1:7" ht="30.75" customHeight="1" thickBot="1" x14ac:dyDescent="0.25">
      <c r="A108" s="1714" t="s">
        <v>423</v>
      </c>
      <c r="B108" s="1718" t="s">
        <v>2315</v>
      </c>
      <c r="C108" s="626" t="s">
        <v>2321</v>
      </c>
      <c r="D108" s="1543"/>
      <c r="E108" s="1696" t="s">
        <v>1945</v>
      </c>
      <c r="F108" s="1116"/>
      <c r="G108" s="1273"/>
    </row>
    <row r="109" spans="1:7" ht="15" customHeight="1" x14ac:dyDescent="0.2">
      <c r="A109" s="1714"/>
      <c r="B109" s="1709"/>
      <c r="C109" s="1109" t="s">
        <v>2320</v>
      </c>
      <c r="D109" s="1515">
        <v>0</v>
      </c>
      <c r="E109" s="1694"/>
      <c r="F109" s="1116"/>
      <c r="G109" s="1273"/>
    </row>
    <row r="110" spans="1:7" ht="28.5" customHeight="1" x14ac:dyDescent="0.2">
      <c r="A110" s="1714"/>
      <c r="B110" s="1709"/>
      <c r="C110" s="398" t="s">
        <v>2316</v>
      </c>
      <c r="D110" s="1515">
        <v>0</v>
      </c>
      <c r="E110" s="1694"/>
      <c r="F110" s="1116"/>
      <c r="G110" s="1273"/>
    </row>
    <row r="111" spans="1:7" ht="15" customHeight="1" x14ac:dyDescent="0.2">
      <c r="A111" s="1714"/>
      <c r="B111" s="1709"/>
      <c r="C111" s="398" t="s">
        <v>2317</v>
      </c>
      <c r="D111" s="1515">
        <v>0</v>
      </c>
      <c r="E111" s="1694"/>
      <c r="F111" s="1116"/>
      <c r="G111" s="1273"/>
    </row>
    <row r="112" spans="1:7" ht="15" customHeight="1" x14ac:dyDescent="0.2">
      <c r="A112" s="1714"/>
      <c r="B112" s="1709"/>
      <c r="C112" s="398" t="s">
        <v>2318</v>
      </c>
      <c r="D112" s="1515">
        <v>0</v>
      </c>
      <c r="E112" s="1694"/>
      <c r="F112" s="1116"/>
      <c r="G112" s="1273"/>
    </row>
    <row r="113" spans="1:7" ht="15" customHeight="1" thickBot="1" x14ac:dyDescent="0.25">
      <c r="A113" s="1714"/>
      <c r="B113" s="1709"/>
      <c r="C113" s="1110" t="s">
        <v>2319</v>
      </c>
      <c r="D113" s="1515">
        <v>0</v>
      </c>
      <c r="E113" s="1694"/>
      <c r="F113" s="1116"/>
      <c r="G113" s="1273"/>
    </row>
    <row r="114" spans="1:7" ht="30" customHeight="1" thickBot="1" x14ac:dyDescent="0.25">
      <c r="A114" s="1721" t="s">
        <v>472</v>
      </c>
      <c r="B114" s="1716" t="s">
        <v>2322</v>
      </c>
      <c r="C114" s="89" t="s">
        <v>2423</v>
      </c>
      <c r="D114" s="1543"/>
      <c r="E114" s="1693" t="s">
        <v>2255</v>
      </c>
      <c r="F114" s="1116"/>
      <c r="G114" s="1273"/>
    </row>
    <row r="115" spans="1:7" ht="15" customHeight="1" x14ac:dyDescent="0.2">
      <c r="A115" s="1703"/>
      <c r="B115" s="1709"/>
      <c r="C115" s="1109" t="s">
        <v>2424</v>
      </c>
      <c r="D115" s="1515">
        <v>0</v>
      </c>
      <c r="E115" s="1694"/>
      <c r="F115" s="1116"/>
      <c r="G115" s="1273"/>
    </row>
    <row r="116" spans="1:7" ht="15" customHeight="1" x14ac:dyDescent="0.2">
      <c r="A116" s="1703"/>
      <c r="B116" s="1709"/>
      <c r="C116" s="398" t="s">
        <v>1991</v>
      </c>
      <c r="D116" s="1515">
        <v>0</v>
      </c>
      <c r="E116" s="1694"/>
      <c r="F116" s="1116"/>
      <c r="G116" s="1273"/>
    </row>
    <row r="117" spans="1:7" ht="15" customHeight="1" x14ac:dyDescent="0.2">
      <c r="A117" s="1703"/>
      <c r="B117" s="1709"/>
      <c r="C117" s="398" t="s">
        <v>1992</v>
      </c>
      <c r="D117" s="1515">
        <v>0</v>
      </c>
      <c r="E117" s="1694"/>
      <c r="F117" s="1116"/>
      <c r="G117" s="1273"/>
    </row>
    <row r="118" spans="1:7" ht="15" customHeight="1" thickBot="1" x14ac:dyDescent="0.25">
      <c r="A118" s="1722"/>
      <c r="B118" s="1717"/>
      <c r="C118" s="399" t="s">
        <v>1993</v>
      </c>
      <c r="D118" s="1515">
        <v>0</v>
      </c>
      <c r="E118" s="1695"/>
      <c r="F118" s="1116"/>
      <c r="G118" s="1273"/>
    </row>
    <row r="119" spans="1:7" ht="30" customHeight="1" thickBot="1" x14ac:dyDescent="0.25">
      <c r="A119" s="397" t="s">
        <v>424</v>
      </c>
      <c r="B119" s="1363" t="s">
        <v>651</v>
      </c>
      <c r="C119" s="2" t="s">
        <v>2615</v>
      </c>
      <c r="D119" s="1515">
        <v>0</v>
      </c>
      <c r="E119" s="68" t="s">
        <v>2753</v>
      </c>
      <c r="F119" s="1116"/>
      <c r="G119" s="1273"/>
    </row>
    <row r="120" spans="1:7" ht="30" customHeight="1" thickBot="1" x14ac:dyDescent="0.25">
      <c r="A120" s="88" t="s">
        <v>458</v>
      </c>
      <c r="B120" s="815" t="s">
        <v>652</v>
      </c>
      <c r="C120" s="89" t="s">
        <v>2554</v>
      </c>
      <c r="D120" s="1515">
        <v>0</v>
      </c>
      <c r="E120" s="3" t="s">
        <v>2196</v>
      </c>
      <c r="F120" s="1116"/>
      <c r="G120" s="1273"/>
    </row>
    <row r="121" spans="1:7" ht="30" customHeight="1" thickBot="1" x14ac:dyDescent="0.25">
      <c r="A121" s="1714" t="s">
        <v>425</v>
      </c>
      <c r="B121" s="1718" t="s">
        <v>1330</v>
      </c>
      <c r="C121" s="626" t="s">
        <v>1254</v>
      </c>
      <c r="D121" s="1543"/>
      <c r="E121" s="1696" t="s">
        <v>2572</v>
      </c>
      <c r="F121" s="1116"/>
      <c r="G121" s="1273"/>
    </row>
    <row r="122" spans="1:7" ht="15" customHeight="1" x14ac:dyDescent="0.2">
      <c r="A122" s="1714"/>
      <c r="B122" s="1709"/>
      <c r="C122" s="1109" t="s">
        <v>2556</v>
      </c>
      <c r="D122" s="1515">
        <v>0</v>
      </c>
      <c r="E122" s="1694"/>
      <c r="F122" s="1116"/>
      <c r="G122" s="1273"/>
    </row>
    <row r="123" spans="1:7" ht="15" customHeight="1" x14ac:dyDescent="0.2">
      <c r="A123" s="1714"/>
      <c r="B123" s="1709"/>
      <c r="C123" s="398" t="s">
        <v>2555</v>
      </c>
      <c r="D123" s="1515">
        <v>0</v>
      </c>
      <c r="E123" s="1694"/>
      <c r="F123" s="1116"/>
      <c r="G123" s="1273"/>
    </row>
    <row r="124" spans="1:7" ht="15" customHeight="1" x14ac:dyDescent="0.2">
      <c r="A124" s="1714"/>
      <c r="B124" s="1709"/>
      <c r="C124" s="398" t="s">
        <v>1994</v>
      </c>
      <c r="D124" s="1515">
        <v>0</v>
      </c>
      <c r="E124" s="1694"/>
      <c r="F124" s="1116"/>
      <c r="G124" s="1273"/>
    </row>
    <row r="125" spans="1:7" ht="15" customHeight="1" x14ac:dyDescent="0.2">
      <c r="A125" s="1714"/>
      <c r="B125" s="1709"/>
      <c r="C125" s="398" t="s">
        <v>1995</v>
      </c>
      <c r="D125" s="1515">
        <v>0</v>
      </c>
      <c r="E125" s="1694"/>
      <c r="F125" s="1116"/>
      <c r="G125" s="1273"/>
    </row>
    <row r="126" spans="1:7" ht="24.75" customHeight="1" x14ac:dyDescent="0.2">
      <c r="A126" s="1714"/>
      <c r="B126" s="1709"/>
      <c r="C126" s="398" t="s">
        <v>2943</v>
      </c>
      <c r="D126" s="1515">
        <v>0</v>
      </c>
      <c r="E126" s="1694"/>
      <c r="F126" s="1116" t="s">
        <v>2386</v>
      </c>
      <c r="G126" s="1273"/>
    </row>
    <row r="127" spans="1:7" ht="28.5" customHeight="1" thickBot="1" x14ac:dyDescent="0.25">
      <c r="A127" s="1714"/>
      <c r="B127" s="1709"/>
      <c r="C127" s="1110" t="s">
        <v>2944</v>
      </c>
      <c r="D127" s="1504">
        <v>0</v>
      </c>
      <c r="E127" s="1694"/>
      <c r="F127" s="1116" t="s">
        <v>2387</v>
      </c>
      <c r="G127" s="1273"/>
    </row>
    <row r="128" spans="1:7" ht="45" customHeight="1" thickBot="1" x14ac:dyDescent="0.25">
      <c r="A128" s="1721" t="s">
        <v>459</v>
      </c>
      <c r="B128" s="1720" t="s">
        <v>1288</v>
      </c>
      <c r="C128" s="89" t="s">
        <v>1255</v>
      </c>
      <c r="D128" s="1543"/>
      <c r="E128" s="1669" t="s">
        <v>1934</v>
      </c>
      <c r="F128" s="1116"/>
      <c r="G128" s="1273"/>
    </row>
    <row r="129" spans="1:7" ht="15" customHeight="1" x14ac:dyDescent="0.2">
      <c r="A129" s="1703"/>
      <c r="B129" s="1709"/>
      <c r="C129" s="1109" t="s">
        <v>2713</v>
      </c>
      <c r="D129" s="1515">
        <v>0</v>
      </c>
      <c r="E129" s="1694"/>
      <c r="F129" s="1116" t="s">
        <v>2388</v>
      </c>
      <c r="G129" s="1273"/>
    </row>
    <row r="130" spans="1:7" ht="15" customHeight="1" x14ac:dyDescent="0.2">
      <c r="A130" s="1703"/>
      <c r="B130" s="1709"/>
      <c r="C130" s="398" t="s">
        <v>1996</v>
      </c>
      <c r="D130" s="1515">
        <v>0</v>
      </c>
      <c r="E130" s="1694"/>
      <c r="F130" s="1116"/>
      <c r="G130" s="1273"/>
    </row>
    <row r="131" spans="1:7" ht="15" customHeight="1" x14ac:dyDescent="0.2">
      <c r="A131" s="1703"/>
      <c r="B131" s="1709"/>
      <c r="C131" s="398" t="s">
        <v>1997</v>
      </c>
      <c r="D131" s="1515">
        <v>0</v>
      </c>
      <c r="E131" s="1694"/>
      <c r="F131" s="1116"/>
      <c r="G131" s="1273"/>
    </row>
    <row r="132" spans="1:7" ht="15" customHeight="1" x14ac:dyDescent="0.2">
      <c r="A132" s="1703"/>
      <c r="B132" s="1709"/>
      <c r="C132" s="398" t="s">
        <v>1998</v>
      </c>
      <c r="D132" s="1515">
        <v>0</v>
      </c>
      <c r="E132" s="1694"/>
      <c r="F132" s="1116"/>
      <c r="G132" s="1273"/>
    </row>
    <row r="133" spans="1:7" ht="15" customHeight="1" thickBot="1" x14ac:dyDescent="0.25">
      <c r="A133" s="1722"/>
      <c r="B133" s="1717"/>
      <c r="C133" s="399" t="s">
        <v>1256</v>
      </c>
      <c r="D133" s="1515">
        <v>0</v>
      </c>
      <c r="E133" s="1695"/>
      <c r="F133" s="1116" t="s">
        <v>2389</v>
      </c>
      <c r="G133" s="1273"/>
    </row>
    <row r="134" spans="1:7" ht="30" customHeight="1" thickBot="1" x14ac:dyDescent="0.25">
      <c r="A134" s="1703" t="s">
        <v>460</v>
      </c>
      <c r="B134" s="1719" t="s">
        <v>1257</v>
      </c>
      <c r="C134" s="88" t="s">
        <v>1331</v>
      </c>
      <c r="D134" s="1543"/>
      <c r="E134" s="1670" t="s">
        <v>2452</v>
      </c>
      <c r="F134" s="1116"/>
      <c r="G134" s="1273"/>
    </row>
    <row r="135" spans="1:7" ht="15" customHeight="1" x14ac:dyDescent="0.2">
      <c r="A135" s="1703"/>
      <c r="B135" s="1709"/>
      <c r="C135" s="1109" t="s">
        <v>1258</v>
      </c>
      <c r="D135" s="1515">
        <v>0</v>
      </c>
      <c r="E135" s="1694"/>
      <c r="F135" s="1116"/>
      <c r="G135" s="1273"/>
    </row>
    <row r="136" spans="1:7" ht="15" customHeight="1" x14ac:dyDescent="0.2">
      <c r="A136" s="1703"/>
      <c r="B136" s="1709"/>
      <c r="C136" s="398" t="s">
        <v>1999</v>
      </c>
      <c r="D136" s="1515">
        <v>0</v>
      </c>
      <c r="E136" s="1694"/>
      <c r="F136" s="1116"/>
      <c r="G136" s="1273"/>
    </row>
    <row r="137" spans="1:7" ht="15" customHeight="1" x14ac:dyDescent="0.2">
      <c r="A137" s="1703"/>
      <c r="B137" s="1709"/>
      <c r="C137" s="398" t="s">
        <v>2000</v>
      </c>
      <c r="D137" s="1515">
        <v>0</v>
      </c>
      <c r="E137" s="1694"/>
      <c r="F137" s="1116"/>
      <c r="G137" s="1273"/>
    </row>
    <row r="138" spans="1:7" ht="15" customHeight="1" x14ac:dyDescent="0.2">
      <c r="A138" s="1703"/>
      <c r="B138" s="1709"/>
      <c r="C138" s="398" t="s">
        <v>2001</v>
      </c>
      <c r="D138" s="1515">
        <v>0</v>
      </c>
      <c r="E138" s="1694"/>
      <c r="F138" s="1116"/>
      <c r="G138" s="1273"/>
    </row>
    <row r="139" spans="1:7" ht="15" customHeight="1" thickBot="1" x14ac:dyDescent="0.25">
      <c r="A139" s="1703"/>
      <c r="B139" s="1709"/>
      <c r="C139" s="1110" t="s">
        <v>2002</v>
      </c>
      <c r="D139" s="1515">
        <v>0</v>
      </c>
      <c r="E139" s="1694"/>
      <c r="F139" s="1116"/>
      <c r="G139" s="1273"/>
    </row>
    <row r="140" spans="1:7" ht="21" customHeight="1" thickBot="1" x14ac:dyDescent="0.25">
      <c r="A140" s="1721" t="s">
        <v>461</v>
      </c>
      <c r="B140" s="1720" t="s">
        <v>1259</v>
      </c>
      <c r="C140" s="89" t="s">
        <v>2536</v>
      </c>
      <c r="D140" s="1543"/>
      <c r="E140" s="1669" t="s">
        <v>1920</v>
      </c>
      <c r="F140" s="1116"/>
      <c r="G140" s="1273"/>
    </row>
    <row r="141" spans="1:7" ht="15" customHeight="1" x14ac:dyDescent="0.2">
      <c r="A141" s="1703"/>
      <c r="B141" s="1709"/>
      <c r="C141" s="1109" t="s">
        <v>2537</v>
      </c>
      <c r="D141" s="1542">
        <v>0</v>
      </c>
      <c r="E141" s="1694"/>
      <c r="F141" s="1116" t="s">
        <v>2390</v>
      </c>
      <c r="G141" s="1273"/>
    </row>
    <row r="142" spans="1:7" ht="15" customHeight="1" x14ac:dyDescent="0.2">
      <c r="A142" s="1703"/>
      <c r="B142" s="1709"/>
      <c r="C142" s="398" t="s">
        <v>2003</v>
      </c>
      <c r="D142" s="1542">
        <v>0</v>
      </c>
      <c r="E142" s="1694"/>
      <c r="F142" s="1116"/>
      <c r="G142" s="1273"/>
    </row>
    <row r="143" spans="1:7" ht="15" customHeight="1" x14ac:dyDescent="0.2">
      <c r="A143" s="1703"/>
      <c r="B143" s="1709"/>
      <c r="C143" s="398" t="s">
        <v>1997</v>
      </c>
      <c r="D143" s="1542">
        <v>0</v>
      </c>
      <c r="E143" s="1694"/>
      <c r="F143" s="1116"/>
      <c r="G143" s="1273"/>
    </row>
    <row r="144" spans="1:7" ht="15" customHeight="1" x14ac:dyDescent="0.2">
      <c r="A144" s="1703"/>
      <c r="B144" s="1709"/>
      <c r="C144" s="398" t="s">
        <v>1998</v>
      </c>
      <c r="D144" s="1542">
        <v>0</v>
      </c>
      <c r="E144" s="1694"/>
      <c r="F144" s="1116"/>
      <c r="G144" s="1273"/>
    </row>
    <row r="145" spans="1:7" ht="15" customHeight="1" thickBot="1" x14ac:dyDescent="0.25">
      <c r="A145" s="1722"/>
      <c r="B145" s="1717"/>
      <c r="C145" s="399" t="s">
        <v>1260</v>
      </c>
      <c r="D145" s="1542">
        <v>0</v>
      </c>
      <c r="E145" s="1695"/>
      <c r="F145" s="1116"/>
      <c r="G145" s="1273"/>
    </row>
    <row r="146" spans="1:7" ht="21" customHeight="1" thickBot="1" x14ac:dyDescent="0.25">
      <c r="A146" s="1703" t="s">
        <v>462</v>
      </c>
      <c r="B146" s="1719" t="s">
        <v>957</v>
      </c>
      <c r="C146" s="626" t="s">
        <v>2538</v>
      </c>
      <c r="D146" s="1543"/>
      <c r="E146" s="1670" t="s">
        <v>1935</v>
      </c>
      <c r="F146" s="1116"/>
      <c r="G146" s="1273"/>
    </row>
    <row r="147" spans="1:7" ht="15" customHeight="1" x14ac:dyDescent="0.2">
      <c r="A147" s="1704"/>
      <c r="B147" s="1709"/>
      <c r="C147" s="1109" t="s">
        <v>2004</v>
      </c>
      <c r="D147" s="1542">
        <v>0</v>
      </c>
      <c r="E147" s="1694"/>
      <c r="F147" s="1116"/>
      <c r="G147" s="1273"/>
    </row>
    <row r="148" spans="1:7" ht="15" customHeight="1" x14ac:dyDescent="0.2">
      <c r="A148" s="1704"/>
      <c r="B148" s="1709"/>
      <c r="C148" s="398" t="s">
        <v>2005</v>
      </c>
      <c r="D148" s="1542">
        <v>0</v>
      </c>
      <c r="E148" s="1694"/>
      <c r="F148" s="1116"/>
      <c r="G148" s="1273"/>
    </row>
    <row r="149" spans="1:7" ht="15" customHeight="1" x14ac:dyDescent="0.2">
      <c r="A149" s="1704"/>
      <c r="B149" s="1709"/>
      <c r="C149" s="398" t="s">
        <v>2006</v>
      </c>
      <c r="D149" s="1515">
        <v>0</v>
      </c>
      <c r="E149" s="1694"/>
      <c r="F149" s="1116"/>
      <c r="G149" s="1273"/>
    </row>
    <row r="150" spans="1:7" ht="15" customHeight="1" x14ac:dyDescent="0.2">
      <c r="A150" s="1704"/>
      <c r="B150" s="1709"/>
      <c r="C150" s="398" t="s">
        <v>2007</v>
      </c>
      <c r="D150" s="1515">
        <v>0</v>
      </c>
      <c r="E150" s="1694"/>
      <c r="F150" s="1116"/>
      <c r="G150" s="1273"/>
    </row>
    <row r="151" spans="1:7" ht="15" customHeight="1" thickBot="1" x14ac:dyDescent="0.25">
      <c r="A151" s="1704"/>
      <c r="B151" s="1709"/>
      <c r="C151" s="1110" t="s">
        <v>2008</v>
      </c>
      <c r="D151" s="1545">
        <v>0</v>
      </c>
      <c r="E151" s="1694"/>
      <c r="F151" s="1116"/>
      <c r="G151" s="1273"/>
    </row>
    <row r="152" spans="1:7" ht="32.25" customHeight="1" thickBot="1" x14ac:dyDescent="0.25">
      <c r="A152" s="1728" t="s">
        <v>2949</v>
      </c>
      <c r="B152" s="1729"/>
      <c r="C152" s="1729"/>
      <c r="D152" s="1514">
        <v>0</v>
      </c>
      <c r="E152" s="1385"/>
      <c r="F152" s="1116" t="s">
        <v>2391</v>
      </c>
      <c r="G152" s="1273"/>
    </row>
    <row r="153" spans="1:7" ht="30" customHeight="1" thickBot="1" x14ac:dyDescent="0.25">
      <c r="A153" s="1714" t="s">
        <v>426</v>
      </c>
      <c r="B153" s="1719" t="s">
        <v>277</v>
      </c>
      <c r="C153" s="626" t="s">
        <v>1261</v>
      </c>
      <c r="D153" s="1543"/>
      <c r="E153" s="1670" t="s">
        <v>2754</v>
      </c>
      <c r="F153" s="1116"/>
      <c r="G153" s="1273"/>
    </row>
    <row r="154" spans="1:7" ht="15" customHeight="1" x14ac:dyDescent="0.2">
      <c r="A154" s="1704"/>
      <c r="B154" s="1709"/>
      <c r="C154" s="1109" t="s">
        <v>2009</v>
      </c>
      <c r="D154" s="1515">
        <v>0</v>
      </c>
      <c r="E154" s="1694"/>
      <c r="F154" s="1116"/>
      <c r="G154" s="1273"/>
    </row>
    <row r="155" spans="1:7" ht="15" customHeight="1" x14ac:dyDescent="0.2">
      <c r="A155" s="1704"/>
      <c r="B155" s="1709"/>
      <c r="C155" s="398" t="s">
        <v>2010</v>
      </c>
      <c r="D155" s="1515">
        <v>0</v>
      </c>
      <c r="E155" s="1694"/>
      <c r="F155" s="1116"/>
      <c r="G155" s="1273"/>
    </row>
    <row r="156" spans="1:7" ht="15" customHeight="1" x14ac:dyDescent="0.2">
      <c r="A156" s="1704"/>
      <c r="B156" s="1709"/>
      <c r="C156" s="398" t="s">
        <v>2011</v>
      </c>
      <c r="D156" s="1515">
        <v>0</v>
      </c>
      <c r="E156" s="1694"/>
      <c r="F156" s="1116"/>
      <c r="G156" s="1273"/>
    </row>
    <row r="157" spans="1:7" ht="15" customHeight="1" x14ac:dyDescent="0.2">
      <c r="A157" s="1704"/>
      <c r="B157" s="1709"/>
      <c r="C157" s="398" t="s">
        <v>2012</v>
      </c>
      <c r="D157" s="1515">
        <v>0</v>
      </c>
      <c r="E157" s="1694"/>
      <c r="F157" s="1116"/>
      <c r="G157" s="1273"/>
    </row>
    <row r="158" spans="1:7" ht="15" customHeight="1" thickBot="1" x14ac:dyDescent="0.25">
      <c r="A158" s="1704"/>
      <c r="B158" s="1709"/>
      <c r="C158" s="1110" t="s">
        <v>1429</v>
      </c>
      <c r="D158" s="1515">
        <v>0</v>
      </c>
      <c r="E158" s="1694"/>
      <c r="F158" s="1116"/>
      <c r="G158" s="1273"/>
    </row>
    <row r="159" spans="1:7" ht="21" customHeight="1" thickBot="1" x14ac:dyDescent="0.25">
      <c r="A159" s="1713" t="s">
        <v>427</v>
      </c>
      <c r="B159" s="1716" t="s">
        <v>1262</v>
      </c>
      <c r="C159" s="89" t="s">
        <v>1263</v>
      </c>
      <c r="D159" s="1543"/>
      <c r="E159" s="1693" t="s">
        <v>2466</v>
      </c>
      <c r="F159" s="1116"/>
      <c r="G159" s="1273"/>
    </row>
    <row r="160" spans="1:7" ht="15" customHeight="1" x14ac:dyDescent="0.2">
      <c r="A160" s="1714"/>
      <c r="B160" s="1709"/>
      <c r="C160" s="1109" t="s">
        <v>2013</v>
      </c>
      <c r="D160" s="1515">
        <v>0</v>
      </c>
      <c r="E160" s="1694"/>
      <c r="F160" s="1116"/>
      <c r="G160" s="1273"/>
    </row>
    <row r="161" spans="1:7" ht="15" customHeight="1" x14ac:dyDescent="0.2">
      <c r="A161" s="1714"/>
      <c r="B161" s="1709"/>
      <c r="C161" s="398" t="s">
        <v>2014</v>
      </c>
      <c r="D161" s="1515">
        <v>0</v>
      </c>
      <c r="E161" s="1694"/>
      <c r="F161" s="1116"/>
      <c r="G161" s="1273"/>
    </row>
    <row r="162" spans="1:7" ht="15" customHeight="1" thickBot="1" x14ac:dyDescent="0.25">
      <c r="A162" s="1715"/>
      <c r="B162" s="1717"/>
      <c r="C162" s="399" t="s">
        <v>1430</v>
      </c>
      <c r="D162" s="1515">
        <v>0</v>
      </c>
      <c r="E162" s="1695"/>
      <c r="F162" s="1116"/>
      <c r="G162" s="1273"/>
    </row>
    <row r="163" spans="1:7" ht="30" customHeight="1" thickBot="1" x14ac:dyDescent="0.25">
      <c r="A163" s="1723" t="s">
        <v>428</v>
      </c>
      <c r="B163" s="1719" t="s">
        <v>1895</v>
      </c>
      <c r="C163" s="903" t="s">
        <v>2539</v>
      </c>
      <c r="D163" s="1543"/>
      <c r="E163" s="1670" t="s">
        <v>2197</v>
      </c>
      <c r="F163" s="1116"/>
      <c r="G163" s="1273"/>
    </row>
    <row r="164" spans="1:7" ht="15" customHeight="1" x14ac:dyDescent="0.2">
      <c r="A164" s="1723"/>
      <c r="B164" s="1709"/>
      <c r="C164" s="1157" t="s">
        <v>1795</v>
      </c>
      <c r="D164" s="1504">
        <v>0</v>
      </c>
      <c r="E164" s="1694"/>
      <c r="F164" s="1116" t="s">
        <v>2392</v>
      </c>
      <c r="G164" s="1273"/>
    </row>
    <row r="165" spans="1:7" ht="15" customHeight="1" x14ac:dyDescent="0.2">
      <c r="A165" s="1723"/>
      <c r="B165" s="1709"/>
      <c r="C165" s="1369" t="s">
        <v>2015</v>
      </c>
      <c r="D165" s="1504">
        <v>0</v>
      </c>
      <c r="E165" s="1694"/>
      <c r="F165" s="1116"/>
      <c r="G165" s="1273"/>
    </row>
    <row r="166" spans="1:7" ht="15" customHeight="1" x14ac:dyDescent="0.2">
      <c r="A166" s="1723"/>
      <c r="B166" s="1709"/>
      <c r="C166" s="1369" t="s">
        <v>2016</v>
      </c>
      <c r="D166" s="1504">
        <v>0</v>
      </c>
      <c r="E166" s="1694"/>
      <c r="F166" s="1116"/>
      <c r="G166" s="1273"/>
    </row>
    <row r="167" spans="1:7" ht="15" customHeight="1" x14ac:dyDescent="0.2">
      <c r="A167" s="1723"/>
      <c r="B167" s="1709"/>
      <c r="C167" s="1369" t="s">
        <v>2017</v>
      </c>
      <c r="D167" s="1504">
        <v>0</v>
      </c>
      <c r="E167" s="1694"/>
      <c r="F167" s="1116"/>
      <c r="G167" s="1273"/>
    </row>
    <row r="168" spans="1:7" ht="15" customHeight="1" thickBot="1" x14ac:dyDescent="0.25">
      <c r="A168" s="1723"/>
      <c r="B168" s="1709"/>
      <c r="C168" s="1086" t="s">
        <v>2018</v>
      </c>
      <c r="D168" s="1504">
        <v>0</v>
      </c>
      <c r="E168" s="1694"/>
      <c r="F168" s="1116"/>
      <c r="G168" s="1273"/>
    </row>
    <row r="169" spans="1:7" ht="41.25" customHeight="1" thickBot="1" x14ac:dyDescent="0.25">
      <c r="A169" s="88" t="s">
        <v>429</v>
      </c>
      <c r="B169" s="815" t="s">
        <v>1227</v>
      </c>
      <c r="C169" s="89" t="s">
        <v>1896</v>
      </c>
      <c r="D169" s="1515">
        <v>0</v>
      </c>
      <c r="E169" s="3" t="s">
        <v>1936</v>
      </c>
      <c r="F169" s="1116" t="s">
        <v>2393</v>
      </c>
      <c r="G169" s="1273"/>
    </row>
    <row r="170" spans="1:7" ht="30" customHeight="1" thickBot="1" x14ac:dyDescent="0.25">
      <c r="A170" s="1714" t="s">
        <v>430</v>
      </c>
      <c r="B170" s="1718" t="s">
        <v>1921</v>
      </c>
      <c r="C170" s="626" t="s">
        <v>1228</v>
      </c>
      <c r="D170" s="1543"/>
      <c r="E170" s="1696" t="s">
        <v>2755</v>
      </c>
      <c r="F170" s="1116"/>
      <c r="G170" s="1273"/>
    </row>
    <row r="171" spans="1:7" ht="15" customHeight="1" x14ac:dyDescent="0.2">
      <c r="A171" s="1714"/>
      <c r="B171" s="1709"/>
      <c r="C171" s="1109" t="s">
        <v>1891</v>
      </c>
      <c r="D171" s="1515">
        <v>0</v>
      </c>
      <c r="E171" s="1694"/>
      <c r="F171" s="1116" t="s">
        <v>2394</v>
      </c>
      <c r="G171" s="1273"/>
    </row>
    <row r="172" spans="1:7" ht="15" customHeight="1" x14ac:dyDescent="0.2">
      <c r="A172" s="1714"/>
      <c r="B172" s="1709"/>
      <c r="C172" s="398" t="s">
        <v>2619</v>
      </c>
      <c r="D172" s="1515">
        <v>0</v>
      </c>
      <c r="E172" s="1694"/>
      <c r="F172" s="1116" t="s">
        <v>2395</v>
      </c>
      <c r="G172" s="1273"/>
    </row>
    <row r="173" spans="1:7" ht="15" customHeight="1" x14ac:dyDescent="0.2">
      <c r="A173" s="1714"/>
      <c r="B173" s="1709"/>
      <c r="C173" s="398" t="s">
        <v>1120</v>
      </c>
      <c r="D173" s="1515">
        <v>0</v>
      </c>
      <c r="E173" s="1694"/>
      <c r="F173" s="1116"/>
      <c r="G173" s="1273"/>
    </row>
    <row r="174" spans="1:7" ht="15" customHeight="1" x14ac:dyDescent="0.2">
      <c r="A174" s="1714"/>
      <c r="B174" s="1709"/>
      <c r="C174" s="398" t="s">
        <v>1121</v>
      </c>
      <c r="D174" s="1515">
        <v>0</v>
      </c>
      <c r="E174" s="1694"/>
      <c r="F174" s="1116"/>
      <c r="G174" s="1273"/>
    </row>
    <row r="175" spans="1:7" ht="15" customHeight="1" x14ac:dyDescent="0.2">
      <c r="A175" s="1714"/>
      <c r="B175" s="1709"/>
      <c r="C175" s="398" t="s">
        <v>1122</v>
      </c>
      <c r="D175" s="1515">
        <v>0</v>
      </c>
      <c r="E175" s="1694"/>
      <c r="F175" s="1116"/>
      <c r="G175" s="1273"/>
    </row>
    <row r="176" spans="1:7" ht="15" customHeight="1" thickBot="1" x14ac:dyDescent="0.25">
      <c r="A176" s="1714"/>
      <c r="B176" s="1709"/>
      <c r="C176" s="1110" t="s">
        <v>1229</v>
      </c>
      <c r="D176" s="1515">
        <v>0</v>
      </c>
      <c r="E176" s="1694"/>
      <c r="F176" s="1116" t="s">
        <v>2396</v>
      </c>
      <c r="G176" s="1273"/>
    </row>
    <row r="177" spans="1:7" ht="30" customHeight="1" thickBot="1" x14ac:dyDescent="0.25">
      <c r="A177" s="1713" t="s">
        <v>463</v>
      </c>
      <c r="B177" s="1716" t="s">
        <v>1264</v>
      </c>
      <c r="C177" s="89" t="s">
        <v>1265</v>
      </c>
      <c r="D177" s="1543"/>
      <c r="E177" s="1693" t="s">
        <v>1922</v>
      </c>
      <c r="F177" s="1116"/>
      <c r="G177" s="1273"/>
    </row>
    <row r="178" spans="1:7" ht="15" customHeight="1" x14ac:dyDescent="0.2">
      <c r="A178" s="1714"/>
      <c r="B178" s="1709"/>
      <c r="C178" s="1109" t="s">
        <v>2686</v>
      </c>
      <c r="D178" s="1515">
        <v>0</v>
      </c>
      <c r="E178" s="1694"/>
      <c r="F178" s="1116"/>
      <c r="G178" s="1273"/>
    </row>
    <row r="179" spans="1:7" ht="15" customHeight="1" x14ac:dyDescent="0.2">
      <c r="A179" s="1714"/>
      <c r="B179" s="1709"/>
      <c r="C179" s="398" t="s">
        <v>2687</v>
      </c>
      <c r="D179" s="1515">
        <v>0</v>
      </c>
      <c r="E179" s="1694"/>
      <c r="F179" s="1116"/>
      <c r="G179" s="1273"/>
    </row>
    <row r="180" spans="1:7" ht="15" customHeight="1" x14ac:dyDescent="0.2">
      <c r="A180" s="1714"/>
      <c r="B180" s="1709"/>
      <c r="C180" s="398" t="s">
        <v>2688</v>
      </c>
      <c r="D180" s="1515">
        <v>0</v>
      </c>
      <c r="E180" s="1694"/>
      <c r="F180" s="1116"/>
      <c r="G180" s="1273"/>
    </row>
    <row r="181" spans="1:7" ht="15" customHeight="1" x14ac:dyDescent="0.2">
      <c r="A181" s="1714"/>
      <c r="B181" s="1709"/>
      <c r="C181" s="398" t="s">
        <v>2689</v>
      </c>
      <c r="D181" s="1515">
        <v>0</v>
      </c>
      <c r="E181" s="1694"/>
      <c r="F181" s="1116"/>
      <c r="G181" s="1273"/>
    </row>
    <row r="182" spans="1:7" ht="15" customHeight="1" x14ac:dyDescent="0.2">
      <c r="A182" s="1714"/>
      <c r="B182" s="1709"/>
      <c r="C182" s="398" t="s">
        <v>2636</v>
      </c>
      <c r="D182" s="1515">
        <v>0</v>
      </c>
      <c r="E182" s="1694"/>
      <c r="F182" s="1116"/>
      <c r="G182" s="1273"/>
    </row>
    <row r="183" spans="1:7" ht="15" customHeight="1" thickBot="1" x14ac:dyDescent="0.25">
      <c r="A183" s="1715"/>
      <c r="B183" s="1717"/>
      <c r="C183" s="399" t="s">
        <v>2540</v>
      </c>
      <c r="D183" s="1515">
        <v>0</v>
      </c>
      <c r="E183" s="1695"/>
      <c r="F183" s="1116"/>
      <c r="G183" s="1273"/>
    </row>
    <row r="184" spans="1:7" ht="30" customHeight="1" thickBot="1" x14ac:dyDescent="0.25">
      <c r="A184" s="1703" t="s">
        <v>464</v>
      </c>
      <c r="B184" s="1718" t="s">
        <v>956</v>
      </c>
      <c r="C184" s="626" t="s">
        <v>2292</v>
      </c>
      <c r="D184" s="1543"/>
      <c r="E184" s="1696" t="s">
        <v>1923</v>
      </c>
      <c r="F184" s="1116"/>
      <c r="G184" s="1273"/>
    </row>
    <row r="185" spans="1:7" ht="15" customHeight="1" x14ac:dyDescent="0.2">
      <c r="A185" s="1704"/>
      <c r="B185" s="1709"/>
      <c r="C185" s="1109" t="s">
        <v>2019</v>
      </c>
      <c r="D185" s="1542">
        <v>0</v>
      </c>
      <c r="E185" s="1694"/>
      <c r="F185" s="1116"/>
      <c r="G185" s="1273"/>
    </row>
    <row r="186" spans="1:7" ht="15" customHeight="1" x14ac:dyDescent="0.2">
      <c r="A186" s="1704"/>
      <c r="B186" s="1709"/>
      <c r="C186" s="398" t="s">
        <v>2020</v>
      </c>
      <c r="D186" s="1542">
        <v>0</v>
      </c>
      <c r="E186" s="1694"/>
      <c r="F186" s="1116"/>
      <c r="G186" s="1273"/>
    </row>
    <row r="187" spans="1:7" ht="15" customHeight="1" x14ac:dyDescent="0.2">
      <c r="A187" s="1704"/>
      <c r="B187" s="1709"/>
      <c r="C187" s="398" t="s">
        <v>2021</v>
      </c>
      <c r="D187" s="1542">
        <v>0</v>
      </c>
      <c r="E187" s="1694"/>
      <c r="F187" s="1116"/>
      <c r="G187" s="1273"/>
    </row>
    <row r="188" spans="1:7" ht="15" customHeight="1" x14ac:dyDescent="0.2">
      <c r="A188" s="1704"/>
      <c r="B188" s="1709"/>
      <c r="C188" s="398" t="s">
        <v>2022</v>
      </c>
      <c r="D188" s="1542">
        <v>0</v>
      </c>
      <c r="E188" s="1694"/>
      <c r="F188" s="1116"/>
      <c r="G188" s="1273"/>
    </row>
    <row r="189" spans="1:7" ht="15" customHeight="1" thickBot="1" x14ac:dyDescent="0.25">
      <c r="A189" s="1704"/>
      <c r="B189" s="1709"/>
      <c r="C189" s="1110" t="s">
        <v>2023</v>
      </c>
      <c r="D189" s="1542">
        <v>0</v>
      </c>
      <c r="E189" s="1694"/>
      <c r="F189" s="1116"/>
      <c r="G189" s="1273"/>
    </row>
    <row r="190" spans="1:7" ht="27.75" customHeight="1" thickBot="1" x14ac:dyDescent="0.25">
      <c r="A190" s="1713" t="s">
        <v>431</v>
      </c>
      <c r="B190" s="1716" t="s">
        <v>1230</v>
      </c>
      <c r="C190" s="88" t="s">
        <v>1231</v>
      </c>
      <c r="D190" s="1543"/>
      <c r="E190" s="1693" t="s">
        <v>2293</v>
      </c>
      <c r="F190" s="1116"/>
      <c r="G190" s="1273"/>
    </row>
    <row r="191" spans="1:7" ht="15" customHeight="1" x14ac:dyDescent="0.2">
      <c r="A191" s="1714"/>
      <c r="B191" s="1709"/>
      <c r="C191" s="1109" t="s">
        <v>2541</v>
      </c>
      <c r="D191" s="1542">
        <v>0</v>
      </c>
      <c r="E191" s="1694"/>
      <c r="F191" s="1116" t="s">
        <v>2397</v>
      </c>
      <c r="G191" s="1273"/>
    </row>
    <row r="192" spans="1:7" s="5" customFormat="1" ht="15" customHeight="1" x14ac:dyDescent="0.2">
      <c r="A192" s="1714"/>
      <c r="B192" s="1709"/>
      <c r="C192" s="398" t="s">
        <v>2024</v>
      </c>
      <c r="D192" s="1542">
        <v>0</v>
      </c>
      <c r="E192" s="1694"/>
      <c r="F192" s="1118"/>
      <c r="G192" s="1118"/>
    </row>
    <row r="193" spans="1:7" s="5" customFormat="1" ht="15" customHeight="1" x14ac:dyDescent="0.2">
      <c r="A193" s="1714"/>
      <c r="B193" s="1709"/>
      <c r="C193" s="398" t="s">
        <v>2025</v>
      </c>
      <c r="D193" s="1542">
        <v>0</v>
      </c>
      <c r="E193" s="1694"/>
      <c r="F193" s="1119"/>
      <c r="G193" s="1274"/>
    </row>
    <row r="194" spans="1:7" s="5" customFormat="1" ht="15" customHeight="1" thickBot="1" x14ac:dyDescent="0.25">
      <c r="A194" s="1715"/>
      <c r="B194" s="1717"/>
      <c r="C194" s="399" t="s">
        <v>2026</v>
      </c>
      <c r="D194" s="1542">
        <v>0</v>
      </c>
      <c r="E194" s="1695"/>
      <c r="F194" s="1119"/>
      <c r="G194" s="1274"/>
    </row>
    <row r="195" spans="1:7" s="5" customFormat="1" ht="28.5" customHeight="1" thickBot="1" x14ac:dyDescent="0.25">
      <c r="A195" s="1703" t="s">
        <v>432</v>
      </c>
      <c r="B195" s="1718" t="s">
        <v>2294</v>
      </c>
      <c r="C195" s="626" t="s">
        <v>2542</v>
      </c>
      <c r="D195" s="1543"/>
      <c r="E195" s="1696" t="s">
        <v>1924</v>
      </c>
      <c r="F195" s="1119"/>
      <c r="G195" s="1273"/>
    </row>
    <row r="196" spans="1:7" s="5" customFormat="1" ht="15" customHeight="1" x14ac:dyDescent="0.2">
      <c r="A196" s="1703"/>
      <c r="B196" s="1694"/>
      <c r="C196" s="1109" t="s">
        <v>1431</v>
      </c>
      <c r="D196" s="1515">
        <v>0</v>
      </c>
      <c r="E196" s="1694"/>
      <c r="F196" s="1119"/>
      <c r="G196" s="1274"/>
    </row>
    <row r="197" spans="1:7" ht="15" customHeight="1" x14ac:dyDescent="0.2">
      <c r="A197" s="1703"/>
      <c r="B197" s="1694"/>
      <c r="C197" s="398" t="s">
        <v>1977</v>
      </c>
      <c r="D197" s="1515">
        <v>0</v>
      </c>
      <c r="E197" s="1694"/>
      <c r="F197" s="1116"/>
      <c r="G197" s="1273"/>
    </row>
    <row r="198" spans="1:7" ht="27" customHeight="1" thickBot="1" x14ac:dyDescent="0.25">
      <c r="A198" s="1703"/>
      <c r="B198" s="1694"/>
      <c r="C198" s="1110" t="s">
        <v>1266</v>
      </c>
      <c r="D198" s="1515">
        <v>0</v>
      </c>
      <c r="E198" s="1694"/>
      <c r="F198" s="1116"/>
      <c r="G198" s="1273"/>
    </row>
    <row r="199" spans="1:7" ht="33.75" customHeight="1" thickBot="1" x14ac:dyDescent="0.25">
      <c r="A199" s="88" t="s">
        <v>433</v>
      </c>
      <c r="B199" s="815" t="s">
        <v>1232</v>
      </c>
      <c r="C199" s="89" t="s">
        <v>2351</v>
      </c>
      <c r="D199" s="1515">
        <v>0</v>
      </c>
      <c r="E199" s="3"/>
      <c r="F199" s="1116" t="s">
        <v>2352</v>
      </c>
      <c r="G199" s="1273"/>
    </row>
    <row r="200" spans="1:7" ht="30" customHeight="1" thickBot="1" x14ac:dyDescent="0.25">
      <c r="A200" s="1714" t="s">
        <v>29</v>
      </c>
      <c r="B200" s="1718" t="s">
        <v>954</v>
      </c>
      <c r="C200" s="88" t="s">
        <v>2295</v>
      </c>
      <c r="D200" s="1543"/>
      <c r="E200" s="1696" t="s">
        <v>1925</v>
      </c>
      <c r="F200" s="1116"/>
      <c r="G200" s="1273"/>
    </row>
    <row r="201" spans="1:7" ht="15" customHeight="1" x14ac:dyDescent="0.2">
      <c r="A201" s="1714"/>
      <c r="B201" s="1709"/>
      <c r="C201" s="1109" t="s">
        <v>2027</v>
      </c>
      <c r="D201" s="1515">
        <v>0</v>
      </c>
      <c r="E201" s="1694"/>
      <c r="F201" s="1116"/>
      <c r="G201" s="1273"/>
    </row>
    <row r="202" spans="1:7" ht="15" customHeight="1" x14ac:dyDescent="0.2">
      <c r="A202" s="1714"/>
      <c r="B202" s="1709"/>
      <c r="C202" s="398" t="s">
        <v>1977</v>
      </c>
      <c r="D202" s="1515">
        <v>0</v>
      </c>
      <c r="E202" s="1694"/>
      <c r="F202" s="1116"/>
      <c r="G202" s="1273"/>
    </row>
    <row r="203" spans="1:7" ht="15" customHeight="1" thickBot="1" x14ac:dyDescent="0.25">
      <c r="A203" s="1714"/>
      <c r="B203" s="1709"/>
      <c r="C203" s="1110" t="s">
        <v>2028</v>
      </c>
      <c r="D203" s="1515">
        <v>0</v>
      </c>
      <c r="E203" s="1694"/>
      <c r="F203" s="1116"/>
      <c r="G203" s="1273"/>
    </row>
    <row r="204" spans="1:7" ht="45" customHeight="1" thickBot="1" x14ac:dyDescent="0.25">
      <c r="A204" s="88" t="s">
        <v>30</v>
      </c>
      <c r="B204" s="815" t="s">
        <v>955</v>
      </c>
      <c r="C204" s="88" t="s">
        <v>2296</v>
      </c>
      <c r="D204" s="1515">
        <v>0</v>
      </c>
      <c r="E204" s="3" t="s">
        <v>1926</v>
      </c>
      <c r="F204" s="1116"/>
      <c r="G204" s="1273"/>
    </row>
    <row r="205" spans="1:7" ht="36" customHeight="1" thickBot="1" x14ac:dyDescent="0.25">
      <c r="A205" s="397" t="s">
        <v>31</v>
      </c>
      <c r="B205" s="1363" t="s">
        <v>1267</v>
      </c>
      <c r="C205" s="2" t="s">
        <v>1432</v>
      </c>
      <c r="D205" s="1515">
        <v>0</v>
      </c>
      <c r="E205" s="68" t="s">
        <v>1927</v>
      </c>
      <c r="F205" s="1116"/>
      <c r="G205" s="1273"/>
    </row>
    <row r="206" spans="1:7" ht="60" customHeight="1" thickBot="1" x14ac:dyDescent="0.25">
      <c r="A206" s="1721" t="s">
        <v>32</v>
      </c>
      <c r="B206" s="1720" t="s">
        <v>1270</v>
      </c>
      <c r="C206" s="88" t="s">
        <v>2690</v>
      </c>
      <c r="D206" s="1543"/>
      <c r="E206" s="1669" t="s">
        <v>2608</v>
      </c>
      <c r="F206" s="1116"/>
      <c r="G206" s="1273"/>
    </row>
    <row r="207" spans="1:7" ht="15" customHeight="1" x14ac:dyDescent="0.2">
      <c r="A207" s="1704"/>
      <c r="B207" s="1709"/>
      <c r="C207" s="1109" t="s">
        <v>2714</v>
      </c>
      <c r="D207" s="1515">
        <v>0</v>
      </c>
      <c r="E207" s="1694"/>
      <c r="F207" s="1116"/>
      <c r="G207" s="1273"/>
    </row>
    <row r="208" spans="1:7" ht="15" customHeight="1" x14ac:dyDescent="0.2">
      <c r="A208" s="1704"/>
      <c r="B208" s="1709"/>
      <c r="C208" s="398" t="s">
        <v>2715</v>
      </c>
      <c r="D208" s="1515">
        <v>0</v>
      </c>
      <c r="E208" s="1694"/>
      <c r="F208" s="1116"/>
      <c r="G208" s="1273"/>
    </row>
    <row r="209" spans="1:7" ht="15" customHeight="1" x14ac:dyDescent="0.2">
      <c r="A209" s="1704"/>
      <c r="B209" s="1709"/>
      <c r="C209" s="398" t="s">
        <v>2716</v>
      </c>
      <c r="D209" s="1515">
        <v>0</v>
      </c>
      <c r="E209" s="1694"/>
      <c r="F209" s="1116"/>
      <c r="G209" s="1273"/>
    </row>
    <row r="210" spans="1:7" ht="27" customHeight="1" x14ac:dyDescent="0.2">
      <c r="A210" s="1704"/>
      <c r="B210" s="1709"/>
      <c r="C210" s="398" t="s">
        <v>2717</v>
      </c>
      <c r="D210" s="1515">
        <v>0</v>
      </c>
      <c r="E210" s="1694"/>
      <c r="F210" s="1116" t="s">
        <v>2398</v>
      </c>
      <c r="G210" s="1273"/>
    </row>
    <row r="211" spans="1:7" ht="27" customHeight="1" thickBot="1" x14ac:dyDescent="0.25">
      <c r="A211" s="1727"/>
      <c r="B211" s="1717"/>
      <c r="C211" s="399" t="s">
        <v>2718</v>
      </c>
      <c r="D211" s="1515">
        <v>0</v>
      </c>
      <c r="E211" s="1695"/>
      <c r="F211" s="1116" t="s">
        <v>2399</v>
      </c>
      <c r="G211" s="1273"/>
    </row>
    <row r="212" spans="1:7" ht="21" customHeight="1" thickBot="1" x14ac:dyDescent="0.25">
      <c r="A212" s="1703" t="s">
        <v>33</v>
      </c>
      <c r="B212" s="1719" t="s">
        <v>1271</v>
      </c>
      <c r="C212" s="626" t="s">
        <v>1272</v>
      </c>
      <c r="D212" s="1543"/>
      <c r="E212" s="1670" t="s">
        <v>2198</v>
      </c>
      <c r="F212" s="1116"/>
      <c r="G212" s="1273"/>
    </row>
    <row r="213" spans="1:7" ht="27" customHeight="1" x14ac:dyDescent="0.2">
      <c r="A213" s="1704"/>
      <c r="B213" s="1709"/>
      <c r="C213" s="1109" t="s">
        <v>2719</v>
      </c>
      <c r="D213" s="1515">
        <v>0</v>
      </c>
      <c r="E213" s="1694"/>
      <c r="F213" s="1116"/>
      <c r="G213" s="1273"/>
    </row>
    <row r="214" spans="1:7" ht="15" customHeight="1" x14ac:dyDescent="0.2">
      <c r="A214" s="1704"/>
      <c r="B214" s="1709"/>
      <c r="C214" s="398" t="s">
        <v>2720</v>
      </c>
      <c r="D214" s="1515">
        <v>0</v>
      </c>
      <c r="E214" s="1694"/>
      <c r="F214" s="1116"/>
      <c r="G214" s="1273"/>
    </row>
    <row r="215" spans="1:7" ht="27" customHeight="1" thickBot="1" x14ac:dyDescent="0.25">
      <c r="A215" s="1704"/>
      <c r="B215" s="1709"/>
      <c r="C215" s="1110" t="s">
        <v>2721</v>
      </c>
      <c r="D215" s="1545">
        <v>0</v>
      </c>
      <c r="E215" s="1694"/>
      <c r="F215" s="1116"/>
      <c r="G215" s="1273"/>
    </row>
    <row r="216" spans="1:7" ht="45" customHeight="1" thickBot="1" x14ac:dyDescent="0.25">
      <c r="A216" s="88" t="s">
        <v>78</v>
      </c>
      <c r="B216" s="815" t="s">
        <v>1268</v>
      </c>
      <c r="C216" s="88" t="s">
        <v>2461</v>
      </c>
      <c r="D216" s="1514">
        <v>0</v>
      </c>
      <c r="E216" s="3" t="s">
        <v>2199</v>
      </c>
      <c r="F216" s="1116" t="s">
        <v>2400</v>
      </c>
      <c r="G216" s="1273"/>
    </row>
    <row r="217" spans="1:7" ht="40.5" customHeight="1" thickBot="1" x14ac:dyDescent="0.25">
      <c r="A217" s="397" t="s">
        <v>34</v>
      </c>
      <c r="B217" s="816" t="s">
        <v>1269</v>
      </c>
      <c r="C217" s="397" t="s">
        <v>1433</v>
      </c>
      <c r="D217" s="1514">
        <v>0</v>
      </c>
      <c r="E217" s="68" t="s">
        <v>2200</v>
      </c>
      <c r="F217" s="1116"/>
      <c r="G217" s="1273"/>
    </row>
    <row r="218" spans="1:7" ht="30" customHeight="1" thickBot="1" x14ac:dyDescent="0.25">
      <c r="A218" s="1721" t="s">
        <v>51</v>
      </c>
      <c r="B218" s="1720" t="s">
        <v>1233</v>
      </c>
      <c r="C218" s="88" t="s">
        <v>2029</v>
      </c>
      <c r="D218" s="1543"/>
      <c r="E218" s="1669" t="s">
        <v>1928</v>
      </c>
      <c r="F218" s="1116"/>
      <c r="G218" s="1273"/>
    </row>
    <row r="219" spans="1:7" ht="39" customHeight="1" x14ac:dyDescent="0.2">
      <c r="A219" s="1704"/>
      <c r="B219" s="1709"/>
      <c r="C219" s="1109" t="s">
        <v>1796</v>
      </c>
      <c r="D219" s="1515">
        <v>0</v>
      </c>
      <c r="E219" s="1694"/>
      <c r="F219" s="1116"/>
      <c r="G219" s="1273"/>
    </row>
    <row r="220" spans="1:7" ht="15" customHeight="1" x14ac:dyDescent="0.2">
      <c r="A220" s="1704"/>
      <c r="B220" s="1709"/>
      <c r="C220" s="398" t="s">
        <v>2722</v>
      </c>
      <c r="D220" s="1515">
        <v>0</v>
      </c>
      <c r="E220" s="1694"/>
      <c r="F220" s="1116"/>
      <c r="G220" s="1273"/>
    </row>
    <row r="221" spans="1:7" ht="30" customHeight="1" x14ac:dyDescent="0.2">
      <c r="A221" s="1704"/>
      <c r="B221" s="1709"/>
      <c r="C221" s="398" t="s">
        <v>2723</v>
      </c>
      <c r="D221" s="1515">
        <v>0</v>
      </c>
      <c r="E221" s="1694"/>
      <c r="F221" s="1116"/>
      <c r="G221" s="1273"/>
    </row>
    <row r="222" spans="1:7" ht="15" customHeight="1" x14ac:dyDescent="0.2">
      <c r="A222" s="1704"/>
      <c r="B222" s="1709"/>
      <c r="C222" s="398" t="s">
        <v>2724</v>
      </c>
      <c r="D222" s="1515">
        <v>0</v>
      </c>
      <c r="E222" s="1694"/>
      <c r="F222" s="1116"/>
      <c r="G222" s="1273"/>
    </row>
    <row r="223" spans="1:7" ht="28.5" customHeight="1" thickBot="1" x14ac:dyDescent="0.25">
      <c r="A223" s="1727"/>
      <c r="B223" s="1717"/>
      <c r="C223" s="399" t="s">
        <v>2725</v>
      </c>
      <c r="D223" s="1515">
        <v>0</v>
      </c>
      <c r="E223" s="1695"/>
      <c r="F223" s="1116"/>
      <c r="G223" s="1273"/>
    </row>
    <row r="224" spans="1:7" ht="21" customHeight="1" thickBot="1" x14ac:dyDescent="0.25">
      <c r="A224" s="1714" t="s">
        <v>434</v>
      </c>
      <c r="B224" s="1718" t="s">
        <v>1234</v>
      </c>
      <c r="C224" s="626" t="s">
        <v>1235</v>
      </c>
      <c r="D224" s="1658"/>
      <c r="E224" s="1696" t="s">
        <v>2611</v>
      </c>
      <c r="F224" s="1116"/>
      <c r="G224" s="1273"/>
    </row>
    <row r="225" spans="1:7" ht="15" customHeight="1" thickBot="1" x14ac:dyDescent="0.25">
      <c r="A225" s="1714"/>
      <c r="B225" s="1718"/>
      <c r="C225" s="1271" t="s">
        <v>2726</v>
      </c>
      <c r="D225" s="1660"/>
      <c r="E225" s="1696"/>
      <c r="F225" s="1116"/>
      <c r="G225" s="1273"/>
    </row>
    <row r="226" spans="1:7" ht="27" customHeight="1" x14ac:dyDescent="0.2">
      <c r="A226" s="1714"/>
      <c r="B226" s="1709"/>
      <c r="C226" s="1272" t="s">
        <v>2727</v>
      </c>
      <c r="D226" s="1659">
        <v>0</v>
      </c>
      <c r="E226" s="1694"/>
      <c r="F226" s="1116"/>
      <c r="G226" s="1273"/>
    </row>
    <row r="227" spans="1:7" ht="15" customHeight="1" thickBot="1" x14ac:dyDescent="0.25">
      <c r="A227" s="1714"/>
      <c r="B227" s="1709"/>
      <c r="C227" s="2" t="s">
        <v>2728</v>
      </c>
      <c r="D227" s="1656">
        <v>0</v>
      </c>
      <c r="E227" s="1694"/>
      <c r="F227" s="1116"/>
      <c r="G227" s="1273"/>
    </row>
    <row r="228" spans="1:7" ht="21" customHeight="1" thickBot="1" x14ac:dyDescent="0.25">
      <c r="A228" s="1724" t="s">
        <v>452</v>
      </c>
      <c r="B228" s="1716" t="s">
        <v>1236</v>
      </c>
      <c r="C228" s="88" t="s">
        <v>2516</v>
      </c>
      <c r="D228" s="1658"/>
      <c r="E228" s="1697" t="s">
        <v>2304</v>
      </c>
      <c r="F228" s="1116"/>
      <c r="G228" s="1273"/>
    </row>
    <row r="229" spans="1:7" ht="15" customHeight="1" thickBot="1" x14ac:dyDescent="0.25">
      <c r="A229" s="1725"/>
      <c r="B229" s="1718"/>
      <c r="C229" s="1508" t="s">
        <v>2851</v>
      </c>
      <c r="D229" s="1662"/>
      <c r="E229" s="1698"/>
      <c r="F229" s="1116"/>
      <c r="G229" s="1273"/>
    </row>
    <row r="230" spans="1:7" ht="15" customHeight="1" thickBot="1" x14ac:dyDescent="0.25">
      <c r="A230" s="1725"/>
      <c r="B230" s="1718"/>
      <c r="C230" s="1110" t="s">
        <v>2852</v>
      </c>
      <c r="D230" s="1661"/>
      <c r="E230" s="1698"/>
      <c r="F230" s="1116"/>
      <c r="G230" s="1273"/>
    </row>
    <row r="231" spans="1:7" ht="15" customHeight="1" x14ac:dyDescent="0.2">
      <c r="A231" s="1725"/>
      <c r="B231" s="1709"/>
      <c r="C231" s="398" t="s">
        <v>2729</v>
      </c>
      <c r="D231" s="1659">
        <v>0</v>
      </c>
      <c r="E231" s="1699"/>
      <c r="F231" s="1116"/>
      <c r="G231" s="1273"/>
    </row>
    <row r="232" spans="1:7" ht="15" customHeight="1" thickBot="1" x14ac:dyDescent="0.25">
      <c r="A232" s="1726"/>
      <c r="B232" s="1717"/>
      <c r="C232" s="1057" t="s">
        <v>2730</v>
      </c>
      <c r="D232" s="1657">
        <v>0</v>
      </c>
      <c r="E232" s="1700"/>
      <c r="F232" s="1116"/>
      <c r="G232" s="1273"/>
    </row>
    <row r="233" spans="1:7" ht="21" customHeight="1" thickBot="1" x14ac:dyDescent="0.25">
      <c r="A233" s="1703" t="s">
        <v>35</v>
      </c>
      <c r="B233" s="1718" t="s">
        <v>1273</v>
      </c>
      <c r="C233" s="626" t="s">
        <v>958</v>
      </c>
      <c r="D233" s="1543"/>
      <c r="E233" s="1696" t="s">
        <v>1929</v>
      </c>
      <c r="F233" s="1116"/>
      <c r="G233" s="1273"/>
    </row>
    <row r="234" spans="1:7" ht="25.5" customHeight="1" x14ac:dyDescent="0.2">
      <c r="A234" s="1704"/>
      <c r="B234" s="1709"/>
      <c r="C234" s="1114" t="s">
        <v>2731</v>
      </c>
      <c r="D234" s="1515">
        <v>0</v>
      </c>
      <c r="E234" s="1694"/>
      <c r="F234" s="1116"/>
      <c r="G234" s="1273"/>
    </row>
    <row r="235" spans="1:7" ht="42" customHeight="1" x14ac:dyDescent="0.2">
      <c r="A235" s="1704"/>
      <c r="B235" s="1709"/>
      <c r="C235" s="1115" t="s">
        <v>2732</v>
      </c>
      <c r="D235" s="1515">
        <v>0</v>
      </c>
      <c r="E235" s="1694"/>
      <c r="F235" s="1116"/>
      <c r="G235" s="1273"/>
    </row>
    <row r="236" spans="1:7" ht="15" customHeight="1" thickBot="1" x14ac:dyDescent="0.25">
      <c r="A236" s="1704"/>
      <c r="B236" s="1709"/>
      <c r="C236" s="1110" t="s">
        <v>2733</v>
      </c>
      <c r="D236" s="1515">
        <v>0</v>
      </c>
      <c r="E236" s="1694"/>
      <c r="F236" s="1116"/>
      <c r="G236" s="1273"/>
    </row>
    <row r="237" spans="1:7" ht="21" customHeight="1" thickBot="1" x14ac:dyDescent="0.25">
      <c r="A237" s="1721" t="s">
        <v>36</v>
      </c>
      <c r="B237" s="1720" t="s">
        <v>1274</v>
      </c>
      <c r="C237" s="88" t="s">
        <v>2691</v>
      </c>
      <c r="D237" s="1543"/>
      <c r="E237" s="1669" t="s">
        <v>2756</v>
      </c>
      <c r="F237" s="1116"/>
      <c r="G237" s="1273"/>
    </row>
    <row r="238" spans="1:7" ht="40.5" customHeight="1" x14ac:dyDescent="0.2">
      <c r="A238" s="1703"/>
      <c r="B238" s="1709"/>
      <c r="C238" s="51" t="s">
        <v>2323</v>
      </c>
      <c r="D238" s="1515">
        <v>0</v>
      </c>
      <c r="E238" s="1694"/>
      <c r="F238" s="1116"/>
      <c r="G238" s="1273"/>
    </row>
    <row r="239" spans="1:7" ht="27" customHeight="1" x14ac:dyDescent="0.2">
      <c r="A239" s="1703"/>
      <c r="B239" s="1709"/>
      <c r="C239" s="398" t="s">
        <v>2543</v>
      </c>
      <c r="D239" s="1515">
        <v>0</v>
      </c>
      <c r="E239" s="1694"/>
      <c r="F239" s="1116"/>
      <c r="G239" s="1273"/>
    </row>
    <row r="240" spans="1:7" ht="15" customHeight="1" thickBot="1" x14ac:dyDescent="0.25">
      <c r="A240" s="1722"/>
      <c r="B240" s="1717"/>
      <c r="C240" s="399" t="s">
        <v>1434</v>
      </c>
      <c r="D240" s="1515">
        <v>0</v>
      </c>
      <c r="E240" s="1695"/>
      <c r="F240" s="1116"/>
      <c r="G240" s="1273"/>
    </row>
    <row r="241" spans="1:7" ht="21" customHeight="1" thickBot="1" x14ac:dyDescent="0.25">
      <c r="A241" s="1714" t="s">
        <v>37</v>
      </c>
      <c r="B241" s="1718" t="s">
        <v>8</v>
      </c>
      <c r="C241" s="626" t="s">
        <v>1275</v>
      </c>
      <c r="D241" s="1543"/>
      <c r="E241" s="1696" t="s">
        <v>2201</v>
      </c>
      <c r="F241" s="1116"/>
      <c r="G241" s="1273"/>
    </row>
    <row r="242" spans="1:7" ht="15" customHeight="1" x14ac:dyDescent="0.2">
      <c r="A242" s="1714"/>
      <c r="B242" s="1709"/>
      <c r="C242" s="1109" t="s">
        <v>2692</v>
      </c>
      <c r="D242" s="1515">
        <v>0</v>
      </c>
      <c r="E242" s="1694"/>
      <c r="F242" s="1116"/>
      <c r="G242" s="1273"/>
    </row>
    <row r="243" spans="1:7" ht="15" customHeight="1" x14ac:dyDescent="0.2">
      <c r="A243" s="1714"/>
      <c r="B243" s="1709"/>
      <c r="C243" s="398" t="s">
        <v>2693</v>
      </c>
      <c r="D243" s="1515">
        <v>0</v>
      </c>
      <c r="E243" s="1694"/>
      <c r="F243" s="1116"/>
      <c r="G243" s="1273"/>
    </row>
    <row r="244" spans="1:7" ht="15" customHeight="1" x14ac:dyDescent="0.2">
      <c r="A244" s="1714"/>
      <c r="B244" s="1709"/>
      <c r="C244" s="398" t="s">
        <v>2694</v>
      </c>
      <c r="D244" s="1515">
        <v>0</v>
      </c>
      <c r="E244" s="1694"/>
      <c r="F244" s="1116"/>
      <c r="G244" s="1273"/>
    </row>
    <row r="245" spans="1:7" ht="15" customHeight="1" thickBot="1" x14ac:dyDescent="0.25">
      <c r="A245" s="1714"/>
      <c r="B245" s="1709"/>
      <c r="C245" s="1110" t="s">
        <v>2695</v>
      </c>
      <c r="D245" s="1515">
        <v>0</v>
      </c>
      <c r="E245" s="1694"/>
      <c r="F245" s="1116" t="s">
        <v>2401</v>
      </c>
      <c r="G245" s="1273"/>
    </row>
    <row r="246" spans="1:7" ht="31.5" customHeight="1" thickBot="1" x14ac:dyDescent="0.25">
      <c r="A246" s="1687" t="s">
        <v>2680</v>
      </c>
      <c r="B246" s="1688"/>
      <c r="C246" s="1688"/>
      <c r="D246" s="1547"/>
      <c r="E246" s="1386"/>
      <c r="F246" s="1116"/>
      <c r="G246" s="1273"/>
    </row>
    <row r="247" spans="1:7" ht="30" customHeight="1" thickBot="1" x14ac:dyDescent="0.25">
      <c r="A247" s="1714" t="s">
        <v>435</v>
      </c>
      <c r="B247" s="1718" t="s">
        <v>1328</v>
      </c>
      <c r="C247" s="626" t="s">
        <v>2353</v>
      </c>
      <c r="D247" s="1543"/>
      <c r="E247" s="1696" t="s">
        <v>2300</v>
      </c>
      <c r="F247" s="1116"/>
      <c r="G247" s="1273"/>
    </row>
    <row r="248" spans="1:7" ht="15" customHeight="1" x14ac:dyDescent="0.2">
      <c r="A248" s="1714"/>
      <c r="B248" s="1709"/>
      <c r="C248" s="1109" t="s">
        <v>2696</v>
      </c>
      <c r="D248" s="1515">
        <v>0</v>
      </c>
      <c r="E248" s="1694"/>
      <c r="F248" s="1116"/>
      <c r="G248" s="1273"/>
    </row>
    <row r="249" spans="1:7" ht="15" customHeight="1" x14ac:dyDescent="0.2">
      <c r="A249" s="1714"/>
      <c r="B249" s="1709"/>
      <c r="C249" s="398" t="s">
        <v>2697</v>
      </c>
      <c r="D249" s="1515">
        <v>0</v>
      </c>
      <c r="E249" s="1694"/>
      <c r="F249" s="1116"/>
      <c r="G249" s="1273"/>
    </row>
    <row r="250" spans="1:7" ht="15" customHeight="1" x14ac:dyDescent="0.2">
      <c r="A250" s="1714"/>
      <c r="B250" s="1709"/>
      <c r="C250" s="398" t="s">
        <v>2698</v>
      </c>
      <c r="D250" s="1515">
        <v>0</v>
      </c>
      <c r="E250" s="1694"/>
      <c r="F250" s="1116"/>
      <c r="G250" s="1273"/>
    </row>
    <row r="251" spans="1:7" ht="15" customHeight="1" x14ac:dyDescent="0.2">
      <c r="A251" s="1714"/>
      <c r="B251" s="1709"/>
      <c r="C251" s="398" t="s">
        <v>2699</v>
      </c>
      <c r="D251" s="1515">
        <v>0</v>
      </c>
      <c r="E251" s="1694"/>
      <c r="F251" s="1116"/>
      <c r="G251" s="1273"/>
    </row>
    <row r="252" spans="1:7" ht="15" customHeight="1" thickBot="1" x14ac:dyDescent="0.25">
      <c r="A252" s="1715"/>
      <c r="B252" s="1717"/>
      <c r="C252" s="399" t="s">
        <v>1890</v>
      </c>
      <c r="D252" s="1515">
        <v>0</v>
      </c>
      <c r="E252" s="1695"/>
      <c r="F252" s="1116" t="s">
        <v>2402</v>
      </c>
      <c r="G252" s="1273"/>
    </row>
    <row r="253" spans="1:7" ht="30" customHeight="1" thickBot="1" x14ac:dyDescent="0.25">
      <c r="A253" s="1703" t="s">
        <v>436</v>
      </c>
      <c r="B253" s="1718" t="s">
        <v>600</v>
      </c>
      <c r="C253" s="626" t="s">
        <v>2425</v>
      </c>
      <c r="D253" s="1543"/>
      <c r="E253" s="1696" t="s">
        <v>2202</v>
      </c>
      <c r="F253" s="1116"/>
      <c r="G253" s="1273"/>
    </row>
    <row r="254" spans="1:7" ht="15" customHeight="1" x14ac:dyDescent="0.2">
      <c r="A254" s="1704"/>
      <c r="B254" s="1709"/>
      <c r="C254" s="1109" t="s">
        <v>2661</v>
      </c>
      <c r="D254" s="1515">
        <v>0</v>
      </c>
      <c r="E254" s="1694"/>
      <c r="F254" s="1116"/>
      <c r="G254" s="1273"/>
    </row>
    <row r="255" spans="1:7" ht="15" customHeight="1" thickBot="1" x14ac:dyDescent="0.25">
      <c r="A255" s="1704"/>
      <c r="B255" s="1709"/>
      <c r="C255" s="1110" t="s">
        <v>2734</v>
      </c>
      <c r="D255" s="1515">
        <v>0</v>
      </c>
      <c r="E255" s="1694"/>
      <c r="F255" s="1116"/>
      <c r="G255" s="1273"/>
    </row>
    <row r="256" spans="1:7" ht="30" customHeight="1" thickBot="1" x14ac:dyDescent="0.25">
      <c r="A256" s="1721" t="s">
        <v>38</v>
      </c>
      <c r="B256" s="1716" t="s">
        <v>1276</v>
      </c>
      <c r="C256" s="88" t="s">
        <v>1277</v>
      </c>
      <c r="D256" s="1543"/>
      <c r="E256" s="1693" t="s">
        <v>1946</v>
      </c>
      <c r="F256" s="1116"/>
      <c r="G256" s="1273"/>
    </row>
    <row r="257" spans="1:7" ht="15" customHeight="1" x14ac:dyDescent="0.2">
      <c r="A257" s="1704"/>
      <c r="B257" s="1709"/>
      <c r="C257" s="1109" t="s">
        <v>1278</v>
      </c>
      <c r="D257" s="1515">
        <v>0</v>
      </c>
      <c r="E257" s="1694"/>
      <c r="F257" s="1116"/>
      <c r="G257" s="1273"/>
    </row>
    <row r="258" spans="1:7" ht="15" customHeight="1" x14ac:dyDescent="0.2">
      <c r="A258" s="1704"/>
      <c r="B258" s="1709"/>
      <c r="C258" s="398" t="s">
        <v>2693</v>
      </c>
      <c r="D258" s="1515">
        <v>0</v>
      </c>
      <c r="E258" s="1694"/>
      <c r="F258" s="1116"/>
      <c r="G258" s="1273"/>
    </row>
    <row r="259" spans="1:7" ht="15" customHeight="1" x14ac:dyDescent="0.2">
      <c r="A259" s="1704"/>
      <c r="B259" s="1709"/>
      <c r="C259" s="398" t="s">
        <v>2700</v>
      </c>
      <c r="D259" s="1515">
        <v>0</v>
      </c>
      <c r="E259" s="1694"/>
      <c r="F259" s="1116"/>
      <c r="G259" s="1273"/>
    </row>
    <row r="260" spans="1:7" ht="15" customHeight="1" thickBot="1" x14ac:dyDescent="0.25">
      <c r="A260" s="1727"/>
      <c r="B260" s="1717"/>
      <c r="C260" s="399" t="s">
        <v>2701</v>
      </c>
      <c r="D260" s="1515">
        <v>0</v>
      </c>
      <c r="E260" s="1695"/>
      <c r="F260" s="1116"/>
      <c r="G260" s="1273"/>
    </row>
    <row r="261" spans="1:7" ht="45" customHeight="1" thickBot="1" x14ac:dyDescent="0.25">
      <c r="A261" s="397" t="s">
        <v>276</v>
      </c>
      <c r="B261" s="1363" t="s">
        <v>2348</v>
      </c>
      <c r="C261" s="2" t="s">
        <v>2426</v>
      </c>
      <c r="D261" s="1515">
        <v>0</v>
      </c>
      <c r="E261" s="68" t="s">
        <v>1947</v>
      </c>
      <c r="F261" s="1116"/>
      <c r="G261" s="1273"/>
    </row>
    <row r="262" spans="1:7" ht="30" customHeight="1" thickBot="1" x14ac:dyDescent="0.25">
      <c r="A262" s="1721" t="s">
        <v>46</v>
      </c>
      <c r="B262" s="1720" t="s">
        <v>2297</v>
      </c>
      <c r="C262" s="1085" t="s">
        <v>2486</v>
      </c>
      <c r="D262" s="1543"/>
      <c r="E262" s="1669" t="s">
        <v>2203</v>
      </c>
      <c r="F262" s="1116"/>
      <c r="G262" s="1273"/>
    </row>
    <row r="263" spans="1:7" ht="15" customHeight="1" x14ac:dyDescent="0.2">
      <c r="A263" s="1704"/>
      <c r="B263" s="1709"/>
      <c r="C263" s="1109" t="s">
        <v>2035</v>
      </c>
      <c r="D263" s="1515">
        <v>0</v>
      </c>
      <c r="E263" s="1694"/>
      <c r="F263" s="1116"/>
      <c r="G263" s="1273"/>
    </row>
    <row r="264" spans="1:7" ht="15" customHeight="1" x14ac:dyDescent="0.2">
      <c r="A264" s="1704"/>
      <c r="B264" s="1709"/>
      <c r="C264" s="398" t="s">
        <v>2735</v>
      </c>
      <c r="D264" s="1515">
        <v>0</v>
      </c>
      <c r="E264" s="1694"/>
      <c r="F264" s="1116"/>
      <c r="G264" s="1273"/>
    </row>
    <row r="265" spans="1:7" ht="15" customHeight="1" x14ac:dyDescent="0.2">
      <c r="A265" s="1704"/>
      <c r="B265" s="1709"/>
      <c r="C265" s="398" t="s">
        <v>2736</v>
      </c>
      <c r="D265" s="1515">
        <v>0</v>
      </c>
      <c r="E265" s="1694"/>
      <c r="F265" s="1116"/>
      <c r="G265" s="1273"/>
    </row>
    <row r="266" spans="1:7" ht="15" customHeight="1" x14ac:dyDescent="0.2">
      <c r="A266" s="1704"/>
      <c r="B266" s="1709"/>
      <c r="C266" s="398" t="s">
        <v>2737</v>
      </c>
      <c r="D266" s="1515">
        <v>0</v>
      </c>
      <c r="E266" s="1694"/>
      <c r="F266" s="1116"/>
      <c r="G266" s="1273"/>
    </row>
    <row r="267" spans="1:7" ht="15" customHeight="1" x14ac:dyDescent="0.2">
      <c r="A267" s="1704"/>
      <c r="B267" s="1709"/>
      <c r="C267" s="398" t="s">
        <v>2738</v>
      </c>
      <c r="D267" s="1515">
        <v>0</v>
      </c>
      <c r="E267" s="1694"/>
      <c r="F267" s="1116"/>
      <c r="G267" s="1273"/>
    </row>
    <row r="268" spans="1:7" ht="15" customHeight="1" thickBot="1" x14ac:dyDescent="0.25">
      <c r="A268" s="1727"/>
      <c r="B268" s="1717"/>
      <c r="C268" s="399" t="s">
        <v>2739</v>
      </c>
      <c r="D268" s="1515">
        <v>0</v>
      </c>
      <c r="E268" s="1695"/>
      <c r="F268" s="1116"/>
      <c r="G268" s="1273"/>
    </row>
    <row r="269" spans="1:7" ht="21" customHeight="1" thickBot="1" x14ac:dyDescent="0.25">
      <c r="A269" s="1714" t="s">
        <v>437</v>
      </c>
      <c r="B269" s="1718" t="s">
        <v>1238</v>
      </c>
      <c r="C269" s="626" t="s">
        <v>1237</v>
      </c>
      <c r="D269" s="1543"/>
      <c r="E269" s="1696" t="s">
        <v>2204</v>
      </c>
      <c r="F269" s="1116"/>
      <c r="G269" s="1273"/>
    </row>
    <row r="270" spans="1:7" ht="15" customHeight="1" x14ac:dyDescent="0.2">
      <c r="A270" s="1714"/>
      <c r="B270" s="1709"/>
      <c r="C270" s="1109" t="s">
        <v>2740</v>
      </c>
      <c r="D270" s="1515">
        <v>0</v>
      </c>
      <c r="E270" s="1694"/>
      <c r="F270" s="1116"/>
      <c r="G270" s="1273"/>
    </row>
    <row r="271" spans="1:7" ht="15" customHeight="1" x14ac:dyDescent="0.2">
      <c r="A271" s="1714"/>
      <c r="B271" s="1709"/>
      <c r="C271" s="398" t="s">
        <v>2741</v>
      </c>
      <c r="D271" s="1515">
        <v>0</v>
      </c>
      <c r="E271" s="1694"/>
      <c r="F271" s="1116"/>
      <c r="G271" s="1273"/>
    </row>
    <row r="272" spans="1:7" s="5" customFormat="1" ht="15" customHeight="1" x14ac:dyDescent="0.2">
      <c r="A272" s="1714"/>
      <c r="B272" s="1709"/>
      <c r="C272" s="398" t="s">
        <v>2742</v>
      </c>
      <c r="D272" s="1515">
        <v>0</v>
      </c>
      <c r="E272" s="1694"/>
      <c r="F272" s="818"/>
      <c r="G272" s="1275"/>
    </row>
    <row r="273" spans="1:7" s="5" customFormat="1" ht="15" customHeight="1" thickBot="1" x14ac:dyDescent="0.25">
      <c r="A273" s="1714"/>
      <c r="B273" s="1709"/>
      <c r="C273" s="1110" t="s">
        <v>2743</v>
      </c>
      <c r="D273" s="1515">
        <v>0</v>
      </c>
      <c r="E273" s="1694"/>
      <c r="F273" s="818"/>
      <c r="G273" s="1275"/>
    </row>
    <row r="274" spans="1:7" s="5" customFormat="1" ht="30" customHeight="1" thickBot="1" x14ac:dyDescent="0.25">
      <c r="A274" s="1713" t="s">
        <v>438</v>
      </c>
      <c r="B274" s="1716" t="s">
        <v>465</v>
      </c>
      <c r="C274" s="88" t="s">
        <v>1279</v>
      </c>
      <c r="D274" s="1543"/>
      <c r="E274" s="1693" t="s">
        <v>2205</v>
      </c>
      <c r="F274" s="818"/>
      <c r="G274" s="1275"/>
    </row>
    <row r="275" spans="1:7" s="5" customFormat="1" ht="15" customHeight="1" x14ac:dyDescent="0.2">
      <c r="A275" s="1714"/>
      <c r="B275" s="1709"/>
      <c r="C275" s="1109" t="s">
        <v>2702</v>
      </c>
      <c r="D275" s="1515">
        <v>0</v>
      </c>
      <c r="E275" s="1694"/>
      <c r="F275" s="818"/>
      <c r="G275" s="1275"/>
    </row>
    <row r="276" spans="1:7" s="5" customFormat="1" ht="15" customHeight="1" x14ac:dyDescent="0.2">
      <c r="A276" s="1714"/>
      <c r="B276" s="1709"/>
      <c r="C276" s="398" t="s">
        <v>2703</v>
      </c>
      <c r="D276" s="1515">
        <v>0</v>
      </c>
      <c r="E276" s="1694"/>
      <c r="F276" s="818"/>
      <c r="G276" s="1275"/>
    </row>
    <row r="277" spans="1:7" ht="15" customHeight="1" thickBot="1" x14ac:dyDescent="0.25">
      <c r="A277" s="1715"/>
      <c r="B277" s="1717"/>
      <c r="C277" s="399" t="s">
        <v>2704</v>
      </c>
      <c r="D277" s="1515">
        <v>0</v>
      </c>
      <c r="E277" s="1695"/>
      <c r="F277" s="1116"/>
      <c r="G277" s="1273"/>
    </row>
    <row r="278" spans="1:7" ht="21" customHeight="1" thickBot="1" x14ac:dyDescent="0.25">
      <c r="A278" s="1714" t="s">
        <v>77</v>
      </c>
      <c r="B278" s="1718" t="s">
        <v>1281</v>
      </c>
      <c r="C278" s="88" t="s">
        <v>984</v>
      </c>
      <c r="D278" s="1543"/>
      <c r="E278" s="1696" t="s">
        <v>2206</v>
      </c>
      <c r="F278" s="1116"/>
      <c r="G278" s="1273"/>
    </row>
    <row r="279" spans="1:7" ht="27" customHeight="1" x14ac:dyDescent="0.2">
      <c r="A279" s="1714"/>
      <c r="B279" s="1709"/>
      <c r="C279" s="1109" t="s">
        <v>1282</v>
      </c>
      <c r="D279" s="1515">
        <v>0</v>
      </c>
      <c r="E279" s="1694"/>
      <c r="F279" s="1116"/>
      <c r="G279" s="1273"/>
    </row>
    <row r="280" spans="1:7" ht="27" customHeight="1" x14ac:dyDescent="0.2">
      <c r="A280" s="1714"/>
      <c r="B280" s="1709"/>
      <c r="C280" s="398" t="s">
        <v>1283</v>
      </c>
      <c r="D280" s="1515">
        <v>0</v>
      </c>
      <c r="E280" s="1694"/>
      <c r="F280" s="1116"/>
      <c r="G280" s="1273"/>
    </row>
    <row r="281" spans="1:7" ht="28.5" customHeight="1" thickBot="1" x14ac:dyDescent="0.25">
      <c r="A281" s="1715"/>
      <c r="B281" s="1717"/>
      <c r="C281" s="399" t="s">
        <v>1035</v>
      </c>
      <c r="D281" s="1515">
        <v>0</v>
      </c>
      <c r="E281" s="1695"/>
      <c r="F281" s="1116"/>
      <c r="G281" s="1273"/>
    </row>
    <row r="282" spans="1:7" ht="60" customHeight="1" thickBot="1" x14ac:dyDescent="0.25">
      <c r="A282" s="1714" t="s">
        <v>439</v>
      </c>
      <c r="B282" s="1718" t="s">
        <v>1284</v>
      </c>
      <c r="C282" s="88" t="s">
        <v>2705</v>
      </c>
      <c r="D282" s="1543"/>
      <c r="E282" s="1696" t="s">
        <v>2207</v>
      </c>
      <c r="F282" s="1116"/>
      <c r="G282" s="1273"/>
    </row>
    <row r="283" spans="1:7" ht="15" customHeight="1" x14ac:dyDescent="0.2">
      <c r="A283" s="1714"/>
      <c r="B283" s="1709"/>
      <c r="C283" s="1109" t="s">
        <v>2030</v>
      </c>
      <c r="D283" s="1515">
        <v>0</v>
      </c>
      <c r="E283" s="1694"/>
      <c r="F283" s="1116"/>
      <c r="G283" s="1273"/>
    </row>
    <row r="284" spans="1:7" ht="15" customHeight="1" x14ac:dyDescent="0.2">
      <c r="A284" s="1714"/>
      <c r="B284" s="1709"/>
      <c r="C284" s="398" t="s">
        <v>2031</v>
      </c>
      <c r="D284" s="1515">
        <v>0</v>
      </c>
      <c r="E284" s="1694"/>
      <c r="F284" s="1116"/>
      <c r="G284" s="1273"/>
    </row>
    <row r="285" spans="1:7" ht="15" customHeight="1" x14ac:dyDescent="0.2">
      <c r="A285" s="1714"/>
      <c r="B285" s="1709"/>
      <c r="C285" s="398" t="s">
        <v>2032</v>
      </c>
      <c r="D285" s="1515">
        <v>0</v>
      </c>
      <c r="E285" s="1694"/>
      <c r="F285" s="1116"/>
      <c r="G285" s="1273"/>
    </row>
    <row r="286" spans="1:7" ht="15" customHeight="1" x14ac:dyDescent="0.2">
      <c r="A286" s="1714"/>
      <c r="B286" s="1709"/>
      <c r="C286" s="398" t="s">
        <v>2033</v>
      </c>
      <c r="D286" s="1515">
        <v>0</v>
      </c>
      <c r="E286" s="1694"/>
      <c r="F286" s="1116"/>
      <c r="G286" s="1273"/>
    </row>
    <row r="287" spans="1:7" ht="15" customHeight="1" x14ac:dyDescent="0.2">
      <c r="A287" s="1714"/>
      <c r="B287" s="1709"/>
      <c r="C287" s="1086" t="s">
        <v>2324</v>
      </c>
      <c r="D287" s="1515">
        <v>0</v>
      </c>
      <c r="E287" s="1694"/>
      <c r="F287" s="1116"/>
      <c r="G287" s="1273"/>
    </row>
    <row r="288" spans="1:7" ht="15" customHeight="1" thickBot="1" x14ac:dyDescent="0.25">
      <c r="A288" s="1714"/>
      <c r="B288" s="1709"/>
      <c r="C288" s="1087" t="s">
        <v>2325</v>
      </c>
      <c r="D288" s="1515">
        <v>0</v>
      </c>
      <c r="E288" s="1694"/>
      <c r="F288" s="1116"/>
      <c r="G288" s="1273"/>
    </row>
    <row r="289" spans="1:7" ht="29.25" customHeight="1" thickBot="1" x14ac:dyDescent="0.25">
      <c r="A289" s="1713" t="s">
        <v>440</v>
      </c>
      <c r="B289" s="1716" t="s">
        <v>1285</v>
      </c>
      <c r="C289" s="626" t="s">
        <v>2706</v>
      </c>
      <c r="D289" s="1543"/>
      <c r="E289" s="1693" t="s">
        <v>2208</v>
      </c>
      <c r="F289" s="1116"/>
      <c r="G289" s="1273"/>
    </row>
    <row r="290" spans="1:7" ht="15" customHeight="1" x14ac:dyDescent="0.2">
      <c r="A290" s="1714"/>
      <c r="B290" s="1709"/>
      <c r="C290" s="1109" t="s">
        <v>2940</v>
      </c>
      <c r="D290" s="1515">
        <v>0</v>
      </c>
      <c r="E290" s="1694"/>
      <c r="F290" s="1116"/>
      <c r="G290" s="1273"/>
    </row>
    <row r="291" spans="1:7" ht="15" customHeight="1" x14ac:dyDescent="0.2">
      <c r="A291" s="1714"/>
      <c r="B291" s="1709"/>
      <c r="C291" s="398" t="s">
        <v>2707</v>
      </c>
      <c r="D291" s="1515">
        <v>0</v>
      </c>
      <c r="E291" s="1694"/>
      <c r="F291" s="1116"/>
      <c r="G291" s="1273"/>
    </row>
    <row r="292" spans="1:7" ht="15" customHeight="1" x14ac:dyDescent="0.2">
      <c r="A292" s="1714"/>
      <c r="B292" s="1709"/>
      <c r="C292" s="398" t="s">
        <v>2708</v>
      </c>
      <c r="D292" s="1515">
        <v>0</v>
      </c>
      <c r="E292" s="1694"/>
      <c r="F292" s="1116"/>
      <c r="G292" s="1273"/>
    </row>
    <row r="293" spans="1:7" ht="15" customHeight="1" thickBot="1" x14ac:dyDescent="0.25">
      <c r="A293" s="1715"/>
      <c r="B293" s="1717"/>
      <c r="C293" s="399" t="s">
        <v>2034</v>
      </c>
      <c r="D293" s="1545">
        <v>0</v>
      </c>
      <c r="E293" s="1695"/>
      <c r="F293" s="1116"/>
      <c r="G293" s="1273"/>
    </row>
    <row r="294" spans="1:7" ht="30" customHeight="1" thickBot="1" x14ac:dyDescent="0.25">
      <c r="A294" s="1364" t="s">
        <v>485</v>
      </c>
      <c r="B294" s="817" t="s">
        <v>1036</v>
      </c>
      <c r="C294" s="2" t="s">
        <v>1435</v>
      </c>
      <c r="D294" s="1598"/>
      <c r="E294" s="818" t="s">
        <v>1948</v>
      </c>
      <c r="F294" s="1116"/>
      <c r="G294" s="1273"/>
    </row>
    <row r="295" spans="1:7" ht="45" customHeight="1" thickBot="1" x14ac:dyDescent="0.25">
      <c r="A295" s="819" t="s">
        <v>441</v>
      </c>
      <c r="B295" s="815" t="s">
        <v>1037</v>
      </c>
      <c r="C295" s="89" t="s">
        <v>2247</v>
      </c>
      <c r="D295" s="1598"/>
      <c r="E295" s="3" t="s">
        <v>1949</v>
      </c>
      <c r="F295" s="1116"/>
      <c r="G295" s="1273"/>
    </row>
    <row r="296" spans="1:7" ht="21" customHeight="1" thickBot="1" x14ac:dyDescent="0.25">
      <c r="A296" s="1714" t="s">
        <v>442</v>
      </c>
      <c r="B296" s="1718" t="s">
        <v>1286</v>
      </c>
      <c r="C296" s="626" t="s">
        <v>1436</v>
      </c>
      <c r="D296" s="1546"/>
      <c r="E296" s="1696" t="s">
        <v>2209</v>
      </c>
      <c r="F296" s="1116"/>
      <c r="G296" s="1273"/>
    </row>
    <row r="297" spans="1:7" ht="15" customHeight="1" x14ac:dyDescent="0.2">
      <c r="A297" s="1714"/>
      <c r="B297" s="1709"/>
      <c r="C297" s="1109" t="s">
        <v>2744</v>
      </c>
      <c r="D297" s="1515">
        <v>0</v>
      </c>
      <c r="E297" s="1694"/>
      <c r="F297" s="1116"/>
      <c r="G297" s="1273"/>
    </row>
    <row r="298" spans="1:7" ht="15" customHeight="1" x14ac:dyDescent="0.2">
      <c r="A298" s="1714"/>
      <c r="B298" s="1709"/>
      <c r="C298" s="398" t="s">
        <v>2745</v>
      </c>
      <c r="D298" s="1515">
        <v>0</v>
      </c>
      <c r="E298" s="1694"/>
      <c r="F298" s="1116"/>
      <c r="G298" s="1273"/>
    </row>
    <row r="299" spans="1:7" ht="15" customHeight="1" x14ac:dyDescent="0.2">
      <c r="A299" s="1714"/>
      <c r="B299" s="1709"/>
      <c r="C299" s="398" t="s">
        <v>2746</v>
      </c>
      <c r="D299" s="1515">
        <v>0</v>
      </c>
      <c r="E299" s="1694"/>
      <c r="F299" s="1116"/>
      <c r="G299" s="1273"/>
    </row>
    <row r="300" spans="1:7" ht="15" customHeight="1" x14ac:dyDescent="0.2">
      <c r="A300" s="1714"/>
      <c r="B300" s="1709"/>
      <c r="C300" s="398" t="s">
        <v>2747</v>
      </c>
      <c r="D300" s="1515">
        <v>0</v>
      </c>
      <c r="E300" s="1694"/>
      <c r="F300" s="1116"/>
      <c r="G300" s="1273"/>
    </row>
    <row r="301" spans="1:7" ht="15" customHeight="1" x14ac:dyDescent="0.2">
      <c r="A301" s="1714"/>
      <c r="B301" s="1709"/>
      <c r="C301" s="398" t="s">
        <v>2748</v>
      </c>
      <c r="D301" s="1515">
        <v>0</v>
      </c>
      <c r="E301" s="1694"/>
      <c r="F301" s="1116"/>
      <c r="G301" s="1273"/>
    </row>
    <row r="302" spans="1:7" ht="15" customHeight="1" thickBot="1" x14ac:dyDescent="0.25">
      <c r="A302" s="1714"/>
      <c r="B302" s="1709"/>
      <c r="C302" s="1110" t="s">
        <v>2749</v>
      </c>
      <c r="D302" s="1515">
        <v>0</v>
      </c>
      <c r="E302" s="1694"/>
      <c r="F302" s="1116"/>
      <c r="G302" s="1273"/>
    </row>
    <row r="303" spans="1:7" ht="21" customHeight="1" thickBot="1" x14ac:dyDescent="0.25">
      <c r="A303" s="1713" t="s">
        <v>49</v>
      </c>
      <c r="B303" s="1716" t="s">
        <v>24</v>
      </c>
      <c r="C303" s="89" t="s">
        <v>1287</v>
      </c>
      <c r="D303" s="1543"/>
      <c r="E303" s="1693" t="s">
        <v>1950</v>
      </c>
      <c r="F303" s="1116"/>
      <c r="G303" s="1273"/>
    </row>
    <row r="304" spans="1:7" ht="15" customHeight="1" x14ac:dyDescent="0.2">
      <c r="A304" s="1714"/>
      <c r="B304" s="1709"/>
      <c r="C304" s="1109" t="s">
        <v>2751</v>
      </c>
      <c r="D304" s="1515">
        <v>0</v>
      </c>
      <c r="E304" s="1694"/>
      <c r="F304" s="1116"/>
      <c r="G304" s="1273"/>
    </row>
    <row r="305" spans="1:7" ht="15" customHeight="1" x14ac:dyDescent="0.2">
      <c r="A305" s="1714"/>
      <c r="B305" s="1709"/>
      <c r="C305" s="398" t="s">
        <v>2750</v>
      </c>
      <c r="D305" s="1515">
        <v>0</v>
      </c>
      <c r="E305" s="1694"/>
      <c r="F305" s="1116"/>
      <c r="G305" s="1273"/>
    </row>
    <row r="306" spans="1:7" ht="15" customHeight="1" thickBot="1" x14ac:dyDescent="0.25">
      <c r="A306" s="1715"/>
      <c r="B306" s="1717"/>
      <c r="C306" s="399" t="s">
        <v>2752</v>
      </c>
      <c r="D306" s="1545">
        <v>0</v>
      </c>
      <c r="E306" s="1695"/>
      <c r="F306" s="1116"/>
      <c r="G306" s="1273"/>
    </row>
    <row r="307" spans="1:7" ht="45" customHeight="1" thickBot="1" x14ac:dyDescent="0.25">
      <c r="A307" s="88" t="s">
        <v>27</v>
      </c>
      <c r="B307" s="815" t="s">
        <v>1239</v>
      </c>
      <c r="C307" s="88" t="s">
        <v>2709</v>
      </c>
      <c r="D307" s="1514"/>
      <c r="E307" s="3" t="s">
        <v>2210</v>
      </c>
      <c r="F307" s="1117"/>
      <c r="G307" s="1276"/>
    </row>
  </sheetData>
  <sheetProtection formatCells="0" formatColumns="0" formatRows="0" insertColumns="0" insertRows="0"/>
  <sortState xmlns:xlrd2="http://schemas.microsoft.com/office/spreadsheetml/2017/richdata2" columnSort="1" ref="E2:DS2719">
    <sortCondition ref="E2:DS2"/>
  </sortState>
  <customSheetViews>
    <customSheetView guid="{B8E02330-2419-4DE6-AD01-7ACC7A5D18DD}" scale="90" topLeftCell="A96">
      <selection activeCell="C101" sqref="C101:C102"/>
      <rowBreaks count="16" manualBreakCount="16">
        <brk id="9" max="4" man="1"/>
        <brk id="26" max="4" man="1"/>
        <brk id="45" max="4" man="1"/>
        <brk id="82" max="4" man="1"/>
        <brk id="100" max="4" man="1"/>
        <brk id="124" max="4" man="1"/>
        <brk id="148" max="4" man="1"/>
        <brk id="166" max="4" man="1"/>
        <brk id="196" max="4" man="1"/>
        <brk id="220" max="4" man="1"/>
        <brk id="236" max="4" man="1"/>
        <brk id="267" max="4" man="1"/>
        <brk id="287" max="4" man="1"/>
        <brk id="306" max="4" man="1"/>
        <brk id="333" max="4" man="1"/>
        <brk id="363" max="4" man="1"/>
      </rowBreaks>
      <pageMargins left="0.25" right="0.25" top="0.75" bottom="0.75" header="0.3" footer="0.3"/>
      <printOptions headings="1"/>
      <pageSetup scale="85" orientation="landscape" r:id="rId1"/>
      <headerFooter alignWithMargins="0">
        <oddFooter>&amp;LWESPUS betaV1, by Dr. Paul Adamus</oddFooter>
      </headerFooter>
    </customSheetView>
  </customSheetViews>
  <mergeCells count="171">
    <mergeCell ref="B12:B16"/>
    <mergeCell ref="A17:A23"/>
    <mergeCell ref="B17:B23"/>
    <mergeCell ref="A100:A104"/>
    <mergeCell ref="A83:A87"/>
    <mergeCell ref="A44:A47"/>
    <mergeCell ref="A48:A50"/>
    <mergeCell ref="A88:A93"/>
    <mergeCell ref="A77:A82"/>
    <mergeCell ref="A28:A36"/>
    <mergeCell ref="A57:A62"/>
    <mergeCell ref="A25:A27"/>
    <mergeCell ref="B28:B36"/>
    <mergeCell ref="A94:A99"/>
    <mergeCell ref="A51:A56"/>
    <mergeCell ref="A37:A43"/>
    <mergeCell ref="A152:C152"/>
    <mergeCell ref="B121:B127"/>
    <mergeCell ref="A128:A133"/>
    <mergeCell ref="B128:B133"/>
    <mergeCell ref="B134:B139"/>
    <mergeCell ref="A73:A76"/>
    <mergeCell ref="B37:B43"/>
    <mergeCell ref="B94:B99"/>
    <mergeCell ref="A134:A139"/>
    <mergeCell ref="A140:A145"/>
    <mergeCell ref="B88:B93"/>
    <mergeCell ref="B77:B82"/>
    <mergeCell ref="B83:B87"/>
    <mergeCell ref="A269:A273"/>
    <mergeCell ref="B269:B273"/>
    <mergeCell ref="B212:B215"/>
    <mergeCell ref="B218:B223"/>
    <mergeCell ref="A224:A227"/>
    <mergeCell ref="B224:B227"/>
    <mergeCell ref="A228:A232"/>
    <mergeCell ref="B228:B232"/>
    <mergeCell ref="B25:B27"/>
    <mergeCell ref="B51:B56"/>
    <mergeCell ref="B57:B62"/>
    <mergeCell ref="B63:B68"/>
    <mergeCell ref="B69:B72"/>
    <mergeCell ref="B73:B76"/>
    <mergeCell ref="A63:A68"/>
    <mergeCell ref="A69:A72"/>
    <mergeCell ref="B163:B168"/>
    <mergeCell ref="A184:A189"/>
    <mergeCell ref="A256:A260"/>
    <mergeCell ref="A253:A255"/>
    <mergeCell ref="A262:A268"/>
    <mergeCell ref="A206:A211"/>
    <mergeCell ref="A212:A215"/>
    <mergeCell ref="A218:A223"/>
    <mergeCell ref="A247:A252"/>
    <mergeCell ref="B247:B252"/>
    <mergeCell ref="B237:B240"/>
    <mergeCell ref="B253:B255"/>
    <mergeCell ref="B256:B260"/>
    <mergeCell ref="B262:B268"/>
    <mergeCell ref="A163:A168"/>
    <mergeCell ref="A241:A245"/>
    <mergeCell ref="B241:B245"/>
    <mergeCell ref="A237:A240"/>
    <mergeCell ref="A195:A198"/>
    <mergeCell ref="B195:B198"/>
    <mergeCell ref="A200:A203"/>
    <mergeCell ref="B200:B203"/>
    <mergeCell ref="B206:B211"/>
    <mergeCell ref="B184:B189"/>
    <mergeCell ref="B233:B236"/>
    <mergeCell ref="A233:A236"/>
    <mergeCell ref="A190:A194"/>
    <mergeCell ref="B190:B194"/>
    <mergeCell ref="A296:A302"/>
    <mergeCell ref="B296:B302"/>
    <mergeCell ref="A303:A306"/>
    <mergeCell ref="B303:B306"/>
    <mergeCell ref="A274:A277"/>
    <mergeCell ref="B274:B277"/>
    <mergeCell ref="A278:A281"/>
    <mergeCell ref="B278:B281"/>
    <mergeCell ref="A282:A288"/>
    <mergeCell ref="B282:B288"/>
    <mergeCell ref="A289:A293"/>
    <mergeCell ref="B289:B293"/>
    <mergeCell ref="E48:E50"/>
    <mergeCell ref="E25:E27"/>
    <mergeCell ref="E51:E56"/>
    <mergeCell ref="A159:A162"/>
    <mergeCell ref="B159:B162"/>
    <mergeCell ref="A170:A176"/>
    <mergeCell ref="B170:B176"/>
    <mergeCell ref="A177:A183"/>
    <mergeCell ref="B108:B113"/>
    <mergeCell ref="B177:B183"/>
    <mergeCell ref="A105:A107"/>
    <mergeCell ref="A108:A113"/>
    <mergeCell ref="A153:A158"/>
    <mergeCell ref="B153:B158"/>
    <mergeCell ref="B140:B145"/>
    <mergeCell ref="A146:A151"/>
    <mergeCell ref="B146:B151"/>
    <mergeCell ref="A114:A118"/>
    <mergeCell ref="A121:A127"/>
    <mergeCell ref="B100:B104"/>
    <mergeCell ref="B105:B107"/>
    <mergeCell ref="B114:B118"/>
    <mergeCell ref="B44:B47"/>
    <mergeCell ref="B48:B50"/>
    <mergeCell ref="A11:C11"/>
    <mergeCell ref="A12:A16"/>
    <mergeCell ref="A4:A10"/>
    <mergeCell ref="B4:B10"/>
    <mergeCell ref="E105:E107"/>
    <mergeCell ref="E108:E113"/>
    <mergeCell ref="E114:E118"/>
    <mergeCell ref="E121:E127"/>
    <mergeCell ref="E128:E133"/>
    <mergeCell ref="E57:E62"/>
    <mergeCell ref="E63:E68"/>
    <mergeCell ref="E69:E72"/>
    <mergeCell ref="E73:E76"/>
    <mergeCell ref="E77:E82"/>
    <mergeCell ref="E83:E87"/>
    <mergeCell ref="E88:E93"/>
    <mergeCell ref="E94:E99"/>
    <mergeCell ref="E100:E104"/>
    <mergeCell ref="E4:E10"/>
    <mergeCell ref="E12:E16"/>
    <mergeCell ref="E17:E23"/>
    <mergeCell ref="E28:E36"/>
    <mergeCell ref="E37:E43"/>
    <mergeCell ref="E44:E47"/>
    <mergeCell ref="E134:E139"/>
    <mergeCell ref="E140:E145"/>
    <mergeCell ref="E146:E151"/>
    <mergeCell ref="E153:E158"/>
    <mergeCell ref="E253:E255"/>
    <mergeCell ref="E159:E162"/>
    <mergeCell ref="E163:E168"/>
    <mergeCell ref="E170:E176"/>
    <mergeCell ref="E177:E183"/>
    <mergeCell ref="E184:E189"/>
    <mergeCell ref="E190:E194"/>
    <mergeCell ref="E195:E198"/>
    <mergeCell ref="E200:E203"/>
    <mergeCell ref="E206:E211"/>
    <mergeCell ref="A2:E2"/>
    <mergeCell ref="D1:E1"/>
    <mergeCell ref="F1:F2"/>
    <mergeCell ref="G1:G2"/>
    <mergeCell ref="A246:C246"/>
    <mergeCell ref="A24:C24"/>
    <mergeCell ref="A1:B1"/>
    <mergeCell ref="E303:E306"/>
    <mergeCell ref="E256:E260"/>
    <mergeCell ref="E262:E268"/>
    <mergeCell ref="E269:E273"/>
    <mergeCell ref="E274:E277"/>
    <mergeCell ref="E278:E281"/>
    <mergeCell ref="E282:E288"/>
    <mergeCell ref="E289:E293"/>
    <mergeCell ref="E296:E302"/>
    <mergeCell ref="E212:E215"/>
    <mergeCell ref="E218:E223"/>
    <mergeCell ref="E224:E227"/>
    <mergeCell ref="E228:E232"/>
    <mergeCell ref="E233:E236"/>
    <mergeCell ref="E237:E240"/>
    <mergeCell ref="E241:E245"/>
    <mergeCell ref="E247:E252"/>
  </mergeCells>
  <phoneticPr fontId="3" type="noConversion"/>
  <conditionalFormatting sqref="D4:D10 D12:D23 D247:D434">
    <cfRule type="cellIs" dxfId="7" priority="52" operator="greaterThan">
      <formula>0</formula>
    </cfRule>
  </conditionalFormatting>
  <conditionalFormatting sqref="D25:D245">
    <cfRule type="cellIs" dxfId="6" priority="1" operator="greaterThan">
      <formula>0</formula>
    </cfRule>
  </conditionalFormatting>
  <conditionalFormatting sqref="D435:D1048576">
    <cfRule type="cellIs" dxfId="5" priority="61" operator="greaterThan">
      <formula>0</formula>
    </cfRule>
  </conditionalFormatting>
  <conditionalFormatting sqref="E152">
    <cfRule type="cellIs" dxfId="4" priority="56" operator="greaterThan">
      <formula>0</formula>
    </cfRule>
  </conditionalFormatting>
  <conditionalFormatting sqref="F192:DP194 F195 H195:DP195 F196:DP196 F228:DP235">
    <cfRule type="cellIs" dxfId="3" priority="97" operator="greaterThan">
      <formula>1</formula>
    </cfRule>
  </conditionalFormatting>
  <dataValidations count="1">
    <dataValidation type="whole" allowBlank="1" showInputMessage="1" showErrorMessage="1" sqref="D9:D10 D152:E152 D128:D151 D6:D7 D12:D17 D153:D163 D231:D245 D226:D228 D25:D126 D247:D307 D169:D224" xr:uid="{00000000-0002-0000-0200-000000000000}">
      <formula1>0</formula1>
      <formula2>1</formula2>
    </dataValidation>
  </dataValidations>
  <pageMargins left="0.25" right="0.25" top="0.75" bottom="0.75" header="0.3" footer="0.3"/>
  <pageSetup scale="90" orientation="landscape" horizontalDpi="4294967293" r:id="rId2"/>
  <headerFooter alignWithMargins="0">
    <oddFooter>&amp;LFieldF form - Non-tidal&amp;CPage &amp;P of &amp;N</oddFooter>
  </headerFooter>
  <rowBreaks count="12" manualBreakCount="12">
    <brk id="16" max="3" man="1"/>
    <brk id="43" max="3" man="1"/>
    <brk id="68" max="3" man="1"/>
    <brk id="93" max="3" man="1"/>
    <brk id="120" max="3" man="1"/>
    <brk id="145" max="3" man="1"/>
    <brk id="169" max="3" man="1"/>
    <brk id="198" max="3" man="1"/>
    <brk id="217" max="3" man="1"/>
    <brk id="240" max="3" man="1"/>
    <brk id="268" max="3" man="1"/>
    <brk id="293" max="3" man="1"/>
  </row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1">
    <tabColor rgb="FFE6B9B8"/>
  </sheetPr>
  <dimension ref="A1:F86"/>
  <sheetViews>
    <sheetView topLeftCell="A67" zoomScaleNormal="100" workbookViewId="0">
      <selection activeCell="I79" sqref="I79"/>
    </sheetView>
  </sheetViews>
  <sheetFormatPr defaultColWidth="9.33203125" defaultRowHeight="12.75" x14ac:dyDescent="0.2"/>
  <cols>
    <col min="1" max="1" width="5.83203125" style="15" customWidth="1"/>
    <col min="2" max="2" width="50.83203125" style="16" customWidth="1"/>
    <col min="3" max="5" width="46.83203125" style="16" customWidth="1"/>
    <col min="6" max="6" width="9.83203125" style="16" customWidth="1"/>
    <col min="7" max="16384" width="9.33203125" style="16"/>
  </cols>
  <sheetData>
    <row r="1" spans="1:6" s="821" customFormat="1" ht="27" customHeight="1" thickBot="1" x14ac:dyDescent="0.25">
      <c r="A1" s="1741" t="s">
        <v>2037</v>
      </c>
      <c r="B1" s="1742"/>
      <c r="C1" s="1735" t="s">
        <v>2036</v>
      </c>
      <c r="D1" s="1736"/>
      <c r="E1" s="1735" t="s">
        <v>1701</v>
      </c>
      <c r="F1" s="1736"/>
    </row>
    <row r="2" spans="1:6" s="616" customFormat="1" ht="25.9" customHeight="1" thickBot="1" x14ac:dyDescent="0.3">
      <c r="A2" s="1739" t="s">
        <v>2914</v>
      </c>
      <c r="B2" s="1740"/>
      <c r="C2" s="1740"/>
      <c r="D2" s="1740"/>
      <c r="E2" s="1740"/>
      <c r="F2" s="1134" t="s">
        <v>45</v>
      </c>
    </row>
    <row r="3" spans="1:6" s="223" customFormat="1" ht="24" customHeight="1" thickBot="1" x14ac:dyDescent="0.25">
      <c r="A3" s="1745" t="s">
        <v>278</v>
      </c>
      <c r="B3" s="1765" t="s">
        <v>2334</v>
      </c>
      <c r="C3" s="1765"/>
      <c r="D3" s="1765"/>
      <c r="E3" s="1765"/>
      <c r="F3" s="1525"/>
    </row>
    <row r="4" spans="1:6" s="224" customFormat="1" ht="30" customHeight="1" thickBot="1" x14ac:dyDescent="0.25">
      <c r="A4" s="1746"/>
      <c r="B4" s="1750" t="s">
        <v>1437</v>
      </c>
      <c r="C4" s="1766"/>
      <c r="D4" s="1766"/>
      <c r="E4" s="1766"/>
      <c r="F4" s="1525"/>
    </row>
    <row r="5" spans="1:6" s="224" customFormat="1" ht="18" customHeight="1" x14ac:dyDescent="0.2">
      <c r="A5" s="1746"/>
      <c r="B5" s="1737" t="s">
        <v>2761</v>
      </c>
      <c r="C5" s="1737"/>
      <c r="D5" s="1737"/>
      <c r="E5" s="1738"/>
      <c r="F5" s="1526"/>
    </row>
    <row r="6" spans="1:6" s="224" customFormat="1" ht="18" customHeight="1" x14ac:dyDescent="0.2">
      <c r="A6" s="1746"/>
      <c r="B6" s="1743" t="s">
        <v>2762</v>
      </c>
      <c r="C6" s="1763"/>
      <c r="D6" s="1763"/>
      <c r="E6" s="1764"/>
      <c r="F6" s="1526"/>
    </row>
    <row r="7" spans="1:6" s="224" customFormat="1" ht="18" customHeight="1" x14ac:dyDescent="0.2">
      <c r="A7" s="1746"/>
      <c r="B7" s="1737" t="s">
        <v>2763</v>
      </c>
      <c r="C7" s="1737"/>
      <c r="D7" s="1737"/>
      <c r="E7" s="1738"/>
      <c r="F7" s="1526"/>
    </row>
    <row r="8" spans="1:6" s="224" customFormat="1" ht="18" customHeight="1" x14ac:dyDescent="0.2">
      <c r="A8" s="1746"/>
      <c r="B8" s="1743" t="s">
        <v>2764</v>
      </c>
      <c r="C8" s="1763"/>
      <c r="D8" s="1763"/>
      <c r="E8" s="1764"/>
      <c r="F8" s="1526"/>
    </row>
    <row r="9" spans="1:6" s="224" customFormat="1" ht="18" customHeight="1" x14ac:dyDescent="0.2">
      <c r="A9" s="1746"/>
      <c r="B9" s="1743" t="s">
        <v>2765</v>
      </c>
      <c r="C9" s="1743"/>
      <c r="D9" s="1743"/>
      <c r="E9" s="1744"/>
      <c r="F9" s="1526"/>
    </row>
    <row r="10" spans="1:6" s="224" customFormat="1" ht="18" customHeight="1" x14ac:dyDescent="0.2">
      <c r="A10" s="1746"/>
      <c r="B10" s="1743" t="s">
        <v>2766</v>
      </c>
      <c r="C10" s="1763"/>
      <c r="D10" s="1763"/>
      <c r="E10" s="1764"/>
      <c r="F10" s="1526"/>
    </row>
    <row r="11" spans="1:6" s="224" customFormat="1" ht="18" customHeight="1" x14ac:dyDescent="0.2">
      <c r="A11" s="1746"/>
      <c r="B11" s="1743" t="s">
        <v>2767</v>
      </c>
      <c r="C11" s="1763"/>
      <c r="D11" s="1763"/>
      <c r="E11" s="1764"/>
      <c r="F11" s="1526"/>
    </row>
    <row r="12" spans="1:6" s="224" customFormat="1" ht="18" customHeight="1" x14ac:dyDescent="0.2">
      <c r="A12" s="1746"/>
      <c r="B12" s="1737" t="s">
        <v>2768</v>
      </c>
      <c r="C12" s="1737"/>
      <c r="D12" s="1737"/>
      <c r="E12" s="1738"/>
      <c r="F12" s="1526"/>
    </row>
    <row r="13" spans="1:6" s="224" customFormat="1" ht="18" customHeight="1" x14ac:dyDescent="0.2">
      <c r="A13" s="1746"/>
      <c r="B13" s="1743" t="s">
        <v>2769</v>
      </c>
      <c r="C13" s="1763"/>
      <c r="D13" s="1763"/>
      <c r="E13" s="1764"/>
      <c r="F13" s="1526"/>
    </row>
    <row r="14" spans="1:6" s="224" customFormat="1" ht="18" customHeight="1" x14ac:dyDescent="0.2">
      <c r="A14" s="1746"/>
      <c r="B14" s="1743" t="s">
        <v>2770</v>
      </c>
      <c r="C14" s="1763"/>
      <c r="D14" s="1763"/>
      <c r="E14" s="1764"/>
      <c r="F14" s="1526"/>
    </row>
    <row r="15" spans="1:6" s="224" customFormat="1" ht="18" customHeight="1" thickBot="1" x14ac:dyDescent="0.25">
      <c r="A15" s="1746"/>
      <c r="B15" s="1743" t="s">
        <v>2771</v>
      </c>
      <c r="C15" s="1763"/>
      <c r="D15" s="1763"/>
      <c r="E15" s="1764"/>
      <c r="F15" s="1526"/>
    </row>
    <row r="16" spans="1:6" s="224" customFormat="1" ht="30" customHeight="1" thickBot="1" x14ac:dyDescent="0.25">
      <c r="A16" s="1746"/>
      <c r="B16" s="1750" t="s">
        <v>1438</v>
      </c>
      <c r="C16" s="1751"/>
      <c r="D16" s="1751"/>
      <c r="E16" s="1751"/>
      <c r="F16" s="1525"/>
    </row>
    <row r="17" spans="1:6" s="224" customFormat="1" ht="18" customHeight="1" thickBot="1" x14ac:dyDescent="0.25">
      <c r="A17" s="1746"/>
      <c r="B17" s="830"/>
      <c r="C17" s="825" t="s">
        <v>12</v>
      </c>
      <c r="D17" s="826" t="s">
        <v>13</v>
      </c>
      <c r="E17" s="827" t="s">
        <v>14</v>
      </c>
      <c r="F17" s="1525"/>
    </row>
    <row r="18" spans="1:6" s="224" customFormat="1" ht="18" customHeight="1" x14ac:dyDescent="0.2">
      <c r="A18" s="1746"/>
      <c r="B18" s="831" t="s">
        <v>2772</v>
      </c>
      <c r="C18" s="636" t="s">
        <v>2812</v>
      </c>
      <c r="D18" s="636" t="s">
        <v>2816</v>
      </c>
      <c r="E18" s="641" t="s">
        <v>2819</v>
      </c>
      <c r="F18" s="1527">
        <v>0</v>
      </c>
    </row>
    <row r="19" spans="1:6" s="224" customFormat="1" ht="18" customHeight="1" x14ac:dyDescent="0.2">
      <c r="A19" s="1746"/>
      <c r="B19" s="828" t="s">
        <v>2773</v>
      </c>
      <c r="C19" s="638" t="s">
        <v>2813</v>
      </c>
      <c r="D19" s="638" t="s">
        <v>2817</v>
      </c>
      <c r="E19" s="639" t="s">
        <v>2820</v>
      </c>
      <c r="F19" s="1527">
        <v>0</v>
      </c>
    </row>
    <row r="20" spans="1:6" s="224" customFormat="1" ht="15" customHeight="1" x14ac:dyDescent="0.2">
      <c r="A20" s="1746"/>
      <c r="B20" s="1777" t="s">
        <v>2757</v>
      </c>
      <c r="C20" s="1777"/>
      <c r="D20" s="1777"/>
      <c r="E20" s="1777"/>
      <c r="F20" s="1528"/>
    </row>
    <row r="21" spans="1:6" s="224" customFormat="1" ht="18" customHeight="1" x14ac:dyDescent="0.2">
      <c r="A21" s="1746"/>
      <c r="B21" s="828" t="s">
        <v>2774</v>
      </c>
      <c r="C21" s="636" t="s">
        <v>2814</v>
      </c>
      <c r="D21" s="636" t="s">
        <v>2818</v>
      </c>
      <c r="E21" s="637" t="s">
        <v>2821</v>
      </c>
      <c r="F21" s="1513">
        <v>0</v>
      </c>
    </row>
    <row r="22" spans="1:6" s="224" customFormat="1" ht="18" customHeight="1" x14ac:dyDescent="0.2">
      <c r="A22" s="1746"/>
      <c r="B22" s="828" t="s">
        <v>2775</v>
      </c>
      <c r="C22" s="636" t="s">
        <v>2815</v>
      </c>
      <c r="D22" s="636" t="s">
        <v>1977</v>
      </c>
      <c r="E22" s="637" t="s">
        <v>2822</v>
      </c>
      <c r="F22" s="1513">
        <v>0</v>
      </c>
    </row>
    <row r="23" spans="1:6" s="224" customFormat="1" ht="18" customHeight="1" thickBot="1" x14ac:dyDescent="0.25">
      <c r="A23" s="1746"/>
      <c r="B23" s="1775" t="s">
        <v>1223</v>
      </c>
      <c r="C23" s="1768"/>
      <c r="D23" s="1768"/>
      <c r="E23" s="1776"/>
      <c r="F23" s="1529">
        <f>SUM(F18:F22)</f>
        <v>0</v>
      </c>
    </row>
    <row r="24" spans="1:6" s="612" customFormat="1" ht="21" customHeight="1" thickBot="1" x14ac:dyDescent="0.25">
      <c r="A24" s="1747"/>
      <c r="B24" s="1756"/>
      <c r="C24" s="1757"/>
      <c r="D24" s="1757"/>
      <c r="E24" s="640" t="s">
        <v>2588</v>
      </c>
      <c r="F24" s="1530">
        <f>F23/12</f>
        <v>0</v>
      </c>
    </row>
    <row r="25" spans="1:6" s="223" customFormat="1" ht="24" customHeight="1" thickBot="1" x14ac:dyDescent="0.25">
      <c r="A25" s="1760" t="s">
        <v>83</v>
      </c>
      <c r="B25" s="1748" t="s">
        <v>960</v>
      </c>
      <c r="C25" s="1749"/>
      <c r="D25" s="1749"/>
      <c r="E25" s="1749"/>
      <c r="F25" s="1525"/>
    </row>
    <row r="26" spans="1:6" s="224" customFormat="1" ht="21" customHeight="1" thickBot="1" x14ac:dyDescent="0.25">
      <c r="A26" s="1761"/>
      <c r="B26" s="1750" t="s">
        <v>2211</v>
      </c>
      <c r="C26" s="1751"/>
      <c r="D26" s="1751"/>
      <c r="E26" s="1751"/>
      <c r="F26" s="1525"/>
    </row>
    <row r="27" spans="1:6" s="224" customFormat="1" ht="18" customHeight="1" x14ac:dyDescent="0.2">
      <c r="A27" s="1761"/>
      <c r="B27" s="1752" t="s">
        <v>2776</v>
      </c>
      <c r="C27" s="1753"/>
      <c r="D27" s="1753"/>
      <c r="E27" s="1753"/>
      <c r="F27" s="1526"/>
    </row>
    <row r="28" spans="1:6" s="224" customFormat="1" ht="34.9" customHeight="1" x14ac:dyDescent="0.2">
      <c r="A28" s="1761"/>
      <c r="B28" s="1754" t="s">
        <v>2777</v>
      </c>
      <c r="C28" s="1755"/>
      <c r="D28" s="1755"/>
      <c r="E28" s="1755"/>
      <c r="F28" s="1526"/>
    </row>
    <row r="29" spans="1:6" s="224" customFormat="1" ht="18" customHeight="1" x14ac:dyDescent="0.2">
      <c r="A29" s="1761"/>
      <c r="B29" s="1754" t="s">
        <v>2778</v>
      </c>
      <c r="C29" s="1755"/>
      <c r="D29" s="1755"/>
      <c r="E29" s="1755"/>
      <c r="F29" s="1526"/>
    </row>
    <row r="30" spans="1:6" s="224" customFormat="1" ht="18" customHeight="1" thickBot="1" x14ac:dyDescent="0.25">
      <c r="A30" s="1761"/>
      <c r="B30" s="1758" t="s">
        <v>2779</v>
      </c>
      <c r="C30" s="1759"/>
      <c r="D30" s="1759"/>
      <c r="E30" s="1759"/>
      <c r="F30" s="1531"/>
    </row>
    <row r="31" spans="1:6" s="224" customFormat="1" ht="30" customHeight="1" thickBot="1" x14ac:dyDescent="0.25">
      <c r="A31" s="1761"/>
      <c r="B31" s="1750" t="s">
        <v>1439</v>
      </c>
      <c r="C31" s="1751"/>
      <c r="D31" s="1751"/>
      <c r="E31" s="1751"/>
      <c r="F31" s="1532"/>
    </row>
    <row r="32" spans="1:6" s="224" customFormat="1" ht="18" customHeight="1" thickBot="1" x14ac:dyDescent="0.25">
      <c r="A32" s="1761"/>
      <c r="B32" s="830"/>
      <c r="C32" s="825" t="s">
        <v>12</v>
      </c>
      <c r="D32" s="826" t="s">
        <v>13</v>
      </c>
      <c r="E32" s="827" t="s">
        <v>14</v>
      </c>
      <c r="F32" s="1525"/>
    </row>
    <row r="33" spans="1:6" s="225" customFormat="1" ht="24" customHeight="1" x14ac:dyDescent="0.2">
      <c r="A33" s="1761"/>
      <c r="B33" s="831" t="s">
        <v>2780</v>
      </c>
      <c r="C33" s="636" t="s">
        <v>2823</v>
      </c>
      <c r="D33" s="636" t="s">
        <v>2825</v>
      </c>
      <c r="E33" s="637" t="s">
        <v>2828</v>
      </c>
      <c r="F33" s="1527">
        <v>0</v>
      </c>
    </row>
    <row r="34" spans="1:6" s="225" customFormat="1" ht="18" customHeight="1" x14ac:dyDescent="0.2">
      <c r="A34" s="1761"/>
      <c r="B34" s="828" t="s">
        <v>2781</v>
      </c>
      <c r="C34" s="636" t="s">
        <v>2824</v>
      </c>
      <c r="D34" s="636" t="s">
        <v>2826</v>
      </c>
      <c r="E34" s="637" t="s">
        <v>2829</v>
      </c>
      <c r="F34" s="1527">
        <v>0</v>
      </c>
    </row>
    <row r="35" spans="1:6" s="225" customFormat="1" ht="18" customHeight="1" x14ac:dyDescent="0.2">
      <c r="A35" s="1761"/>
      <c r="B35" s="829" t="s">
        <v>2782</v>
      </c>
      <c r="C35" s="824" t="s">
        <v>2758</v>
      </c>
      <c r="D35" s="823" t="s">
        <v>2827</v>
      </c>
      <c r="E35" s="1132" t="s">
        <v>2830</v>
      </c>
      <c r="F35" s="1527">
        <v>0</v>
      </c>
    </row>
    <row r="36" spans="1:6" s="225" customFormat="1" ht="18" customHeight="1" thickBot="1" x14ac:dyDescent="0.25">
      <c r="A36" s="1761"/>
      <c r="B36" s="1775" t="s">
        <v>1223</v>
      </c>
      <c r="C36" s="1768"/>
      <c r="D36" s="1768"/>
      <c r="E36" s="1776"/>
      <c r="F36" s="1529">
        <f>SUM(F33:F35)</f>
        <v>0</v>
      </c>
    </row>
    <row r="37" spans="1:6" s="612" customFormat="1" ht="21" customHeight="1" thickBot="1" x14ac:dyDescent="0.25">
      <c r="A37" s="1762"/>
      <c r="B37" s="1756"/>
      <c r="C37" s="1757"/>
      <c r="D37" s="1757"/>
      <c r="E37" s="640" t="s">
        <v>2588</v>
      </c>
      <c r="F37" s="1530">
        <f>F36/9</f>
        <v>0</v>
      </c>
    </row>
    <row r="38" spans="1:6" s="223" customFormat="1" ht="24" customHeight="1" thickBot="1" x14ac:dyDescent="0.25">
      <c r="A38" s="1745" t="s">
        <v>82</v>
      </c>
      <c r="B38" s="1748" t="s">
        <v>961</v>
      </c>
      <c r="C38" s="1749"/>
      <c r="D38" s="1749"/>
      <c r="E38" s="1749"/>
      <c r="F38" s="1533"/>
    </row>
    <row r="39" spans="1:6" s="224" customFormat="1" ht="21" customHeight="1" thickBot="1" x14ac:dyDescent="0.25">
      <c r="A39" s="1746"/>
      <c r="B39" s="1750" t="s">
        <v>2212</v>
      </c>
      <c r="C39" s="1751"/>
      <c r="D39" s="1751"/>
      <c r="E39" s="1751"/>
      <c r="F39" s="1532"/>
    </row>
    <row r="40" spans="1:6" s="224" customFormat="1" ht="18" customHeight="1" x14ac:dyDescent="0.2">
      <c r="A40" s="1746"/>
      <c r="B40" s="1752" t="s">
        <v>2783</v>
      </c>
      <c r="C40" s="1753"/>
      <c r="D40" s="1753"/>
      <c r="E40" s="1753"/>
      <c r="F40" s="1526"/>
    </row>
    <row r="41" spans="1:6" s="224" customFormat="1" ht="18" customHeight="1" x14ac:dyDescent="0.2">
      <c r="A41" s="1746"/>
      <c r="B41" s="1754" t="s">
        <v>2784</v>
      </c>
      <c r="C41" s="1755"/>
      <c r="D41" s="1755"/>
      <c r="E41" s="1755"/>
      <c r="F41" s="1526"/>
    </row>
    <row r="42" spans="1:6" s="224" customFormat="1" ht="18" customHeight="1" x14ac:dyDescent="0.2">
      <c r="A42" s="1746"/>
      <c r="B42" s="1754" t="s">
        <v>2785</v>
      </c>
      <c r="C42" s="1755"/>
      <c r="D42" s="1755"/>
      <c r="E42" s="1755"/>
      <c r="F42" s="1526"/>
    </row>
    <row r="43" spans="1:6" s="224" customFormat="1" ht="18" customHeight="1" thickBot="1" x14ac:dyDescent="0.25">
      <c r="A43" s="1746"/>
      <c r="B43" s="1758" t="s">
        <v>2786</v>
      </c>
      <c r="C43" s="1759"/>
      <c r="D43" s="1759"/>
      <c r="E43" s="1759"/>
      <c r="F43" s="1526"/>
    </row>
    <row r="44" spans="1:6" s="224" customFormat="1" ht="30" customHeight="1" thickBot="1" x14ac:dyDescent="0.25">
      <c r="A44" s="1746"/>
      <c r="B44" s="1750" t="s">
        <v>1440</v>
      </c>
      <c r="C44" s="1751"/>
      <c r="D44" s="1751"/>
      <c r="E44" s="1751"/>
      <c r="F44" s="1525"/>
    </row>
    <row r="45" spans="1:6" s="224" customFormat="1" ht="18" customHeight="1" thickBot="1" x14ac:dyDescent="0.25">
      <c r="A45" s="1746"/>
      <c r="B45" s="830"/>
      <c r="C45" s="825" t="s">
        <v>12</v>
      </c>
      <c r="D45" s="826" t="s">
        <v>13</v>
      </c>
      <c r="E45" s="827" t="s">
        <v>14</v>
      </c>
      <c r="F45" s="1525"/>
    </row>
    <row r="46" spans="1:6" s="224" customFormat="1" ht="30" customHeight="1" x14ac:dyDescent="0.2">
      <c r="A46" s="1746"/>
      <c r="B46" s="831" t="s">
        <v>2787</v>
      </c>
      <c r="C46" s="636" t="s">
        <v>2831</v>
      </c>
      <c r="D46" s="636" t="s">
        <v>2832</v>
      </c>
      <c r="E46" s="641" t="s">
        <v>2833</v>
      </c>
      <c r="F46" s="1527">
        <v>0</v>
      </c>
    </row>
    <row r="47" spans="1:6" s="224" customFormat="1" ht="18" customHeight="1" x14ac:dyDescent="0.2">
      <c r="A47" s="1746"/>
      <c r="B47" s="828" t="s">
        <v>2781</v>
      </c>
      <c r="C47" s="636" t="s">
        <v>2824</v>
      </c>
      <c r="D47" s="636" t="s">
        <v>2826</v>
      </c>
      <c r="E47" s="637" t="s">
        <v>2829</v>
      </c>
      <c r="F47" s="1527">
        <v>0</v>
      </c>
    </row>
    <row r="48" spans="1:6" s="224" customFormat="1" ht="18" customHeight="1" x14ac:dyDescent="0.2">
      <c r="A48" s="1746"/>
      <c r="B48" s="828" t="s">
        <v>2782</v>
      </c>
      <c r="C48" s="822" t="s">
        <v>2758</v>
      </c>
      <c r="D48" s="822" t="s">
        <v>2827</v>
      </c>
      <c r="E48" s="1132" t="s">
        <v>2830</v>
      </c>
      <c r="F48" s="1527">
        <v>0</v>
      </c>
    </row>
    <row r="49" spans="1:6" s="224" customFormat="1" ht="18" customHeight="1" thickBot="1" x14ac:dyDescent="0.25">
      <c r="A49" s="1746"/>
      <c r="B49" s="1768" t="s">
        <v>1223</v>
      </c>
      <c r="C49" s="1769"/>
      <c r="D49" s="1769"/>
      <c r="E49" s="1770"/>
      <c r="F49" s="1529">
        <f>SUM(F46:F48)</f>
        <v>0</v>
      </c>
    </row>
    <row r="50" spans="1:6" s="612" customFormat="1" ht="21" customHeight="1" thickBot="1" x14ac:dyDescent="0.25">
      <c r="A50" s="1747"/>
      <c r="B50" s="1756"/>
      <c r="C50" s="1757"/>
      <c r="D50" s="1757"/>
      <c r="E50" s="640" t="s">
        <v>2588</v>
      </c>
      <c r="F50" s="1530">
        <f>F49/9</f>
        <v>0</v>
      </c>
    </row>
    <row r="51" spans="1:6" s="223" customFormat="1" ht="24" customHeight="1" thickBot="1" x14ac:dyDescent="0.25">
      <c r="A51" s="1745" t="s">
        <v>263</v>
      </c>
      <c r="B51" s="1748" t="s">
        <v>445</v>
      </c>
      <c r="C51" s="1772"/>
      <c r="D51" s="1772"/>
      <c r="E51" s="1772"/>
      <c r="F51" s="1525"/>
    </row>
    <row r="52" spans="1:6" s="224" customFormat="1" ht="21" customHeight="1" thickBot="1" x14ac:dyDescent="0.25">
      <c r="A52" s="1746"/>
      <c r="B52" s="1750" t="s">
        <v>2213</v>
      </c>
      <c r="C52" s="1751"/>
      <c r="D52" s="1751"/>
      <c r="E52" s="1751"/>
      <c r="F52" s="1525"/>
    </row>
    <row r="53" spans="1:6" s="224" customFormat="1" ht="18" customHeight="1" x14ac:dyDescent="0.2">
      <c r="A53" s="1746"/>
      <c r="B53" s="1752" t="s">
        <v>2788</v>
      </c>
      <c r="C53" s="1753"/>
      <c r="D53" s="1753"/>
      <c r="E53" s="1753"/>
      <c r="F53" s="1526"/>
    </row>
    <row r="54" spans="1:6" s="224" customFormat="1" ht="18" customHeight="1" x14ac:dyDescent="0.2">
      <c r="A54" s="1746"/>
      <c r="B54" s="1754" t="s">
        <v>2789</v>
      </c>
      <c r="C54" s="1755"/>
      <c r="D54" s="1755"/>
      <c r="E54" s="1755"/>
      <c r="F54" s="1526"/>
    </row>
    <row r="55" spans="1:6" s="224" customFormat="1" ht="18" customHeight="1" x14ac:dyDescent="0.2">
      <c r="A55" s="1746"/>
      <c r="B55" s="1754" t="s">
        <v>2790</v>
      </c>
      <c r="C55" s="1755"/>
      <c r="D55" s="1755"/>
      <c r="E55" s="1755"/>
      <c r="F55" s="1526"/>
    </row>
    <row r="56" spans="1:6" s="224" customFormat="1" ht="18" customHeight="1" x14ac:dyDescent="0.2">
      <c r="A56" s="1746"/>
      <c r="B56" s="1754" t="s">
        <v>2791</v>
      </c>
      <c r="C56" s="1755"/>
      <c r="D56" s="1755"/>
      <c r="E56" s="1755"/>
      <c r="F56" s="1526"/>
    </row>
    <row r="57" spans="1:6" s="224" customFormat="1" ht="18" customHeight="1" x14ac:dyDescent="0.2">
      <c r="A57" s="1746"/>
      <c r="B57" s="1754" t="s">
        <v>2792</v>
      </c>
      <c r="C57" s="1755"/>
      <c r="D57" s="1755"/>
      <c r="E57" s="1755"/>
      <c r="F57" s="1526"/>
    </row>
    <row r="58" spans="1:6" s="224" customFormat="1" ht="18" customHeight="1" x14ac:dyDescent="0.2">
      <c r="A58" s="1746"/>
      <c r="B58" s="1754" t="s">
        <v>2793</v>
      </c>
      <c r="C58" s="1755"/>
      <c r="D58" s="1755"/>
      <c r="E58" s="1755"/>
      <c r="F58" s="1526"/>
    </row>
    <row r="59" spans="1:6" s="224" customFormat="1" ht="18" customHeight="1" x14ac:dyDescent="0.2">
      <c r="A59" s="1746"/>
      <c r="B59" s="1754" t="s">
        <v>2794</v>
      </c>
      <c r="C59" s="1755"/>
      <c r="D59" s="1755"/>
      <c r="E59" s="1755"/>
      <c r="F59" s="1526"/>
    </row>
    <row r="60" spans="1:6" s="224" customFormat="1" ht="18" customHeight="1" thickBot="1" x14ac:dyDescent="0.25">
      <c r="A60" s="1746"/>
      <c r="B60" s="1758" t="s">
        <v>2795</v>
      </c>
      <c r="C60" s="1759"/>
      <c r="D60" s="1759"/>
      <c r="E60" s="1759"/>
      <c r="F60" s="1526"/>
    </row>
    <row r="61" spans="1:6" s="224" customFormat="1" ht="30" customHeight="1" thickBot="1" x14ac:dyDescent="0.25">
      <c r="A61" s="1746"/>
      <c r="B61" s="1750" t="s">
        <v>1441</v>
      </c>
      <c r="C61" s="1771"/>
      <c r="D61" s="1771"/>
      <c r="E61" s="1771"/>
      <c r="F61" s="1525"/>
    </row>
    <row r="62" spans="1:6" s="224" customFormat="1" ht="18" customHeight="1" thickBot="1" x14ac:dyDescent="0.25">
      <c r="A62" s="1746"/>
      <c r="B62" s="830"/>
      <c r="C62" s="825" t="s">
        <v>12</v>
      </c>
      <c r="D62" s="826" t="s">
        <v>13</v>
      </c>
      <c r="E62" s="827" t="s">
        <v>14</v>
      </c>
      <c r="F62" s="1525"/>
    </row>
    <row r="63" spans="1:6" s="224" customFormat="1" ht="30" customHeight="1" x14ac:dyDescent="0.2">
      <c r="A63" s="1746"/>
      <c r="B63" s="831" t="s">
        <v>2796</v>
      </c>
      <c r="C63" s="636" t="s">
        <v>2835</v>
      </c>
      <c r="D63" s="636" t="s">
        <v>2836</v>
      </c>
      <c r="E63" s="641" t="s">
        <v>2838</v>
      </c>
      <c r="F63" s="1534">
        <v>0</v>
      </c>
    </row>
    <row r="64" spans="1:6" s="224" customFormat="1" ht="18" customHeight="1" x14ac:dyDescent="0.2">
      <c r="A64" s="1746"/>
      <c r="B64" s="828" t="s">
        <v>2797</v>
      </c>
      <c r="C64" s="636" t="s">
        <v>2834</v>
      </c>
      <c r="D64" s="636" t="s">
        <v>2837</v>
      </c>
      <c r="E64" s="637" t="s">
        <v>2839</v>
      </c>
      <c r="F64" s="1534">
        <v>0</v>
      </c>
    </row>
    <row r="65" spans="1:6" s="224" customFormat="1" ht="18" customHeight="1" x14ac:dyDescent="0.2">
      <c r="A65" s="1746"/>
      <c r="B65" s="828" t="s">
        <v>2798</v>
      </c>
      <c r="C65" s="636" t="s">
        <v>2824</v>
      </c>
      <c r="D65" s="636" t="s">
        <v>2826</v>
      </c>
      <c r="E65" s="637" t="s">
        <v>2829</v>
      </c>
      <c r="F65" s="1534">
        <v>0</v>
      </c>
    </row>
    <row r="66" spans="1:6" s="224" customFormat="1" ht="18" customHeight="1" thickBot="1" x14ac:dyDescent="0.25">
      <c r="A66" s="1746"/>
      <c r="B66" s="829" t="s">
        <v>2799</v>
      </c>
      <c r="C66" s="823" t="s">
        <v>2758</v>
      </c>
      <c r="D66" s="822" t="s">
        <v>2760</v>
      </c>
      <c r="E66" s="823" t="s">
        <v>2830</v>
      </c>
      <c r="F66" s="1527">
        <v>0</v>
      </c>
    </row>
    <row r="67" spans="1:6" s="224" customFormat="1" ht="30" customHeight="1" thickBot="1" x14ac:dyDescent="0.25">
      <c r="A67" s="1746"/>
      <c r="B67" s="1754" t="s">
        <v>2759</v>
      </c>
      <c r="C67" s="1755"/>
      <c r="D67" s="1767"/>
      <c r="E67" s="1133" t="s">
        <v>1223</v>
      </c>
      <c r="F67" s="1529">
        <f>SUM(F63:F66)</f>
        <v>0</v>
      </c>
    </row>
    <row r="68" spans="1:6" s="612" customFormat="1" ht="21" customHeight="1" thickBot="1" x14ac:dyDescent="0.25">
      <c r="A68" s="1747"/>
      <c r="B68" s="1773"/>
      <c r="C68" s="1774"/>
      <c r="D68" s="1774"/>
      <c r="E68" s="640" t="s">
        <v>2588</v>
      </c>
      <c r="F68" s="1530">
        <f>F67/12</f>
        <v>0</v>
      </c>
    </row>
    <row r="69" spans="1:6" s="223" customFormat="1" ht="24" customHeight="1" thickBot="1" x14ac:dyDescent="0.25">
      <c r="A69" s="1745" t="s">
        <v>3</v>
      </c>
      <c r="B69" s="1748" t="s">
        <v>280</v>
      </c>
      <c r="C69" s="1772"/>
      <c r="D69" s="1772"/>
      <c r="E69" s="1772"/>
      <c r="F69" s="1528"/>
    </row>
    <row r="70" spans="1:6" s="224" customFormat="1" ht="30" customHeight="1" thickBot="1" x14ac:dyDescent="0.25">
      <c r="A70" s="1746"/>
      <c r="B70" s="1750" t="s">
        <v>2214</v>
      </c>
      <c r="C70" s="1751"/>
      <c r="D70" s="1751"/>
      <c r="E70" s="1751"/>
      <c r="F70" s="1525"/>
    </row>
    <row r="71" spans="1:6" s="224" customFormat="1" ht="18" customHeight="1" x14ac:dyDescent="0.2">
      <c r="A71" s="1746"/>
      <c r="B71" s="1752" t="s">
        <v>2800</v>
      </c>
      <c r="C71" s="1753"/>
      <c r="D71" s="1753"/>
      <c r="E71" s="1753"/>
      <c r="F71" s="1526"/>
    </row>
    <row r="72" spans="1:6" s="224" customFormat="1" ht="18" customHeight="1" x14ac:dyDescent="0.2">
      <c r="A72" s="1746"/>
      <c r="B72" s="1754" t="s">
        <v>2801</v>
      </c>
      <c r="C72" s="1755"/>
      <c r="D72" s="1755"/>
      <c r="E72" s="1755"/>
      <c r="F72" s="1526"/>
    </row>
    <row r="73" spans="1:6" s="224" customFormat="1" ht="18" customHeight="1" x14ac:dyDescent="0.2">
      <c r="A73" s="1746"/>
      <c r="B73" s="1754" t="s">
        <v>2802</v>
      </c>
      <c r="C73" s="1755"/>
      <c r="D73" s="1755"/>
      <c r="E73" s="1755"/>
      <c r="F73" s="1526"/>
    </row>
    <row r="74" spans="1:6" s="224" customFormat="1" ht="18" customHeight="1" x14ac:dyDescent="0.2">
      <c r="A74" s="1746"/>
      <c r="B74" s="1754" t="s">
        <v>2803</v>
      </c>
      <c r="C74" s="1755"/>
      <c r="D74" s="1755"/>
      <c r="E74" s="1755"/>
      <c r="F74" s="1526"/>
    </row>
    <row r="75" spans="1:6" s="224" customFormat="1" ht="18" customHeight="1" x14ac:dyDescent="0.2">
      <c r="A75" s="1746"/>
      <c r="B75" s="1754" t="s">
        <v>2804</v>
      </c>
      <c r="C75" s="1755"/>
      <c r="D75" s="1755"/>
      <c r="E75" s="1755"/>
      <c r="F75" s="1526"/>
    </row>
    <row r="76" spans="1:6" s="224" customFormat="1" ht="18" customHeight="1" x14ac:dyDescent="0.2">
      <c r="A76" s="1746"/>
      <c r="B76" s="1754" t="s">
        <v>2805</v>
      </c>
      <c r="C76" s="1755"/>
      <c r="D76" s="1755"/>
      <c r="E76" s="1755"/>
      <c r="F76" s="1526"/>
    </row>
    <row r="77" spans="1:6" s="224" customFormat="1" ht="18" customHeight="1" x14ac:dyDescent="0.2">
      <c r="A77" s="1746"/>
      <c r="B77" s="1754" t="s">
        <v>2806</v>
      </c>
      <c r="C77" s="1755"/>
      <c r="D77" s="1755"/>
      <c r="E77" s="1755"/>
      <c r="F77" s="1526"/>
    </row>
    <row r="78" spans="1:6" s="224" customFormat="1" ht="18" customHeight="1" thickBot="1" x14ac:dyDescent="0.25">
      <c r="A78" s="1746"/>
      <c r="B78" s="1758" t="s">
        <v>2807</v>
      </c>
      <c r="C78" s="1759"/>
      <c r="D78" s="1759"/>
      <c r="E78" s="1759"/>
      <c r="F78" s="1526"/>
    </row>
    <row r="79" spans="1:6" s="224" customFormat="1" ht="30" customHeight="1" thickBot="1" x14ac:dyDescent="0.25">
      <c r="A79" s="1746"/>
      <c r="B79" s="1750" t="s">
        <v>1442</v>
      </c>
      <c r="C79" s="1751"/>
      <c r="D79" s="1751"/>
      <c r="E79" s="1751"/>
      <c r="F79" s="1525"/>
    </row>
    <row r="80" spans="1:6" s="224" customFormat="1" ht="18" customHeight="1" thickBot="1" x14ac:dyDescent="0.25">
      <c r="A80" s="1746"/>
      <c r="B80" s="830"/>
      <c r="C80" s="825" t="s">
        <v>12</v>
      </c>
      <c r="D80" s="826" t="s">
        <v>13</v>
      </c>
      <c r="E80" s="827" t="s">
        <v>14</v>
      </c>
      <c r="F80" s="1525"/>
    </row>
    <row r="81" spans="1:6" s="224" customFormat="1" ht="18" customHeight="1" x14ac:dyDescent="0.2">
      <c r="A81" s="1746"/>
      <c r="B81" s="831" t="s">
        <v>2808</v>
      </c>
      <c r="C81" s="642" t="s">
        <v>2840</v>
      </c>
      <c r="D81" s="636" t="s">
        <v>2842</v>
      </c>
      <c r="E81" s="641" t="s">
        <v>2844</v>
      </c>
      <c r="F81" s="1527">
        <v>0</v>
      </c>
    </row>
    <row r="82" spans="1:6" s="224" customFormat="1" ht="18" customHeight="1" x14ac:dyDescent="0.2">
      <c r="A82" s="1746"/>
      <c r="B82" s="828" t="s">
        <v>2809</v>
      </c>
      <c r="C82" s="642" t="s">
        <v>2834</v>
      </c>
      <c r="D82" s="636" t="s">
        <v>2837</v>
      </c>
      <c r="E82" s="637" t="s">
        <v>2839</v>
      </c>
      <c r="F82" s="1527">
        <v>0</v>
      </c>
    </row>
    <row r="83" spans="1:6" s="224" customFormat="1" ht="18" customHeight="1" x14ac:dyDescent="0.2">
      <c r="A83" s="1746"/>
      <c r="B83" s="828" t="s">
        <v>2810</v>
      </c>
      <c r="C83" s="642" t="s">
        <v>2841</v>
      </c>
      <c r="D83" s="636" t="s">
        <v>2843</v>
      </c>
      <c r="E83" s="637" t="s">
        <v>2845</v>
      </c>
      <c r="F83" s="1527">
        <v>0</v>
      </c>
    </row>
    <row r="84" spans="1:6" s="224" customFormat="1" ht="18" customHeight="1" x14ac:dyDescent="0.2">
      <c r="A84" s="1746"/>
      <c r="B84" s="828" t="s">
        <v>2811</v>
      </c>
      <c r="C84" s="642" t="s">
        <v>2824</v>
      </c>
      <c r="D84" s="636" t="s">
        <v>2826</v>
      </c>
      <c r="E84" s="637" t="s">
        <v>2846</v>
      </c>
      <c r="F84" s="1527">
        <v>0</v>
      </c>
    </row>
    <row r="85" spans="1:6" s="224" customFormat="1" ht="18" customHeight="1" thickBot="1" x14ac:dyDescent="0.25">
      <c r="A85" s="1746"/>
      <c r="B85" s="1768" t="s">
        <v>1223</v>
      </c>
      <c r="C85" s="1768"/>
      <c r="D85" s="1768"/>
      <c r="E85" s="1776"/>
      <c r="F85" s="1529">
        <f>SUM(F81:F84)</f>
        <v>0</v>
      </c>
    </row>
    <row r="86" spans="1:6" s="612" customFormat="1" ht="21" customHeight="1" thickBot="1" x14ac:dyDescent="0.25">
      <c r="A86" s="1747"/>
      <c r="B86" s="1756"/>
      <c r="C86" s="1757"/>
      <c r="D86" s="1757"/>
      <c r="E86" s="640" t="s">
        <v>2588</v>
      </c>
      <c r="F86" s="1535">
        <f>F85/12</f>
        <v>0</v>
      </c>
    </row>
  </sheetData>
  <sheetProtection formatCells="0" formatColumns="0" formatRows="0" insertColumns="0" insertRows="0"/>
  <sortState xmlns:xlrd2="http://schemas.microsoft.com/office/spreadsheetml/2017/richdata2" columnSort="1" ref="G2:DU147">
    <sortCondition ref="G2:DU2"/>
  </sortState>
  <customSheetViews>
    <customSheetView guid="{B8E02330-2419-4DE6-AD01-7ACC7A5D18DD}" topLeftCell="A2">
      <selection activeCell="B157" sqref="B157:E157"/>
      <rowBreaks count="4" manualBreakCount="4">
        <brk id="36" max="5" man="1"/>
        <brk id="70" max="5" man="1"/>
        <brk id="109" max="16383" man="1"/>
        <brk id="148" max="16383" man="1"/>
      </rowBreaks>
      <pageMargins left="0.25" right="0.25" top="0.75" bottom="0.75" header="0.3" footer="0.3"/>
      <printOptions horizontalCentered="1"/>
      <pageSetup scale="75" orientation="portrait" r:id="rId1"/>
      <headerFooter alignWithMargins="0">
        <oddFooter>&amp;CWESPUS betaV1, by Dr. Paul Adamus</oddFooter>
      </headerFooter>
    </customSheetView>
  </customSheetViews>
  <mergeCells count="70">
    <mergeCell ref="B77:E77"/>
    <mergeCell ref="B74:E74"/>
    <mergeCell ref="B78:E78"/>
    <mergeCell ref="B75:E75"/>
    <mergeCell ref="B73:E73"/>
    <mergeCell ref="B16:E16"/>
    <mergeCell ref="B13:E13"/>
    <mergeCell ref="B20:E20"/>
    <mergeCell ref="B24:D24"/>
    <mergeCell ref="B27:E27"/>
    <mergeCell ref="B23:E23"/>
    <mergeCell ref="A51:A68"/>
    <mergeCell ref="A69:A86"/>
    <mergeCell ref="B51:E51"/>
    <mergeCell ref="B30:E30"/>
    <mergeCell ref="B72:E72"/>
    <mergeCell ref="B68:D68"/>
    <mergeCell ref="B31:E31"/>
    <mergeCell ref="B36:E36"/>
    <mergeCell ref="B86:D86"/>
    <mergeCell ref="B76:E76"/>
    <mergeCell ref="B56:E56"/>
    <mergeCell ref="B57:E57"/>
    <mergeCell ref="B69:E69"/>
    <mergeCell ref="B85:E85"/>
    <mergeCell ref="B79:E79"/>
    <mergeCell ref="B71:E71"/>
    <mergeCell ref="B58:E58"/>
    <mergeCell ref="B67:D67"/>
    <mergeCell ref="B60:E60"/>
    <mergeCell ref="B70:E70"/>
    <mergeCell ref="B25:E25"/>
    <mergeCell ref="B55:E55"/>
    <mergeCell ref="B53:E53"/>
    <mergeCell ref="B52:E52"/>
    <mergeCell ref="B54:E54"/>
    <mergeCell ref="B49:E49"/>
    <mergeCell ref="B59:E59"/>
    <mergeCell ref="B61:E61"/>
    <mergeCell ref="A25:A37"/>
    <mergeCell ref="B11:E11"/>
    <mergeCell ref="A3:A24"/>
    <mergeCell ref="B3:E3"/>
    <mergeCell ref="B14:E14"/>
    <mergeCell ref="B10:E10"/>
    <mergeCell ref="B6:E6"/>
    <mergeCell ref="B4:E4"/>
    <mergeCell ref="B37:D37"/>
    <mergeCell ref="B28:E28"/>
    <mergeCell ref="B26:E26"/>
    <mergeCell ref="B29:E29"/>
    <mergeCell ref="B15:E15"/>
    <mergeCell ref="B5:E5"/>
    <mergeCell ref="B7:E7"/>
    <mergeCell ref="B8:E8"/>
    <mergeCell ref="A38:A50"/>
    <mergeCell ref="B38:E38"/>
    <mergeCell ref="B39:E39"/>
    <mergeCell ref="B40:E40"/>
    <mergeCell ref="B41:E41"/>
    <mergeCell ref="B42:E42"/>
    <mergeCell ref="B50:D50"/>
    <mergeCell ref="B43:E43"/>
    <mergeCell ref="B44:E44"/>
    <mergeCell ref="E1:F1"/>
    <mergeCell ref="B12:E12"/>
    <mergeCell ref="A2:E2"/>
    <mergeCell ref="A1:B1"/>
    <mergeCell ref="C1:D1"/>
    <mergeCell ref="B9:E9"/>
  </mergeCells>
  <phoneticPr fontId="20" type="noConversion"/>
  <dataValidations count="1">
    <dataValidation type="whole" allowBlank="1" showInputMessage="1" showErrorMessage="1" sqref="F3:F22 F79:F84 F69:F77 F25:F35 F38:F44 F51:F59 F46:F48 F61:F66" xr:uid="{62BFA875-90D4-4968-AE16-F1704E881BEE}">
      <formula1>0</formula1>
      <formula2>3</formula2>
    </dataValidation>
  </dataValidations>
  <printOptions horizontalCentered="1"/>
  <pageMargins left="0.25" right="0.25" top="0.75" bottom="0.75" header="0.3" footer="0.3"/>
  <pageSetup scale="75" orientation="portrait" r:id="rId2"/>
  <headerFooter alignWithMargins="0">
    <oddFooter>&amp;LFieldS form Non-tidal&amp;R&amp;P</oddFooter>
  </headerFooter>
  <rowBreaks count="2" manualBreakCount="2">
    <brk id="2" max="5" man="1"/>
    <brk id="5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2">
    <tabColor theme="0"/>
  </sheetPr>
  <dimension ref="A1:U41"/>
  <sheetViews>
    <sheetView zoomScale="90" zoomScaleNormal="90" workbookViewId="0">
      <selection activeCell="N10" sqref="N10"/>
    </sheetView>
  </sheetViews>
  <sheetFormatPr defaultColWidth="5.83203125" defaultRowHeight="12.75" x14ac:dyDescent="0.2"/>
  <cols>
    <col min="1" max="1" width="69" style="1283" customWidth="1"/>
    <col min="2" max="7" width="13.1640625" style="1298" customWidth="1"/>
    <col min="8" max="8" width="7.1640625" style="1297" customWidth="1"/>
    <col min="9" max="10" width="7" style="1282" bestFit="1" customWidth="1"/>
    <col min="11" max="11" width="9.83203125" style="1282" customWidth="1"/>
    <col min="12" max="12" width="13" style="1282" bestFit="1" customWidth="1"/>
    <col min="13" max="13" width="5.6640625" style="1282" bestFit="1" customWidth="1"/>
    <col min="14" max="15" width="7" style="1282" bestFit="1" customWidth="1"/>
    <col min="16" max="16" width="10.33203125" style="1282" customWidth="1"/>
    <col min="17" max="17" width="13.1640625" style="1282" bestFit="1" customWidth="1"/>
    <col min="18" max="18" width="10" style="1282" customWidth="1"/>
    <col min="19" max="21" width="6.6640625" style="1282" customWidth="1"/>
    <col min="22" max="33" width="6.6640625" style="1283" customWidth="1"/>
    <col min="34" max="16384" width="5.83203125" style="1283"/>
  </cols>
  <sheetData>
    <row r="1" spans="1:21" ht="36" customHeight="1" thickBot="1" x14ac:dyDescent="0.25">
      <c r="A1" s="1778" t="s">
        <v>2847</v>
      </c>
      <c r="B1" s="1779"/>
      <c r="C1" s="1779"/>
      <c r="D1" s="1779"/>
      <c r="E1" s="1779"/>
      <c r="F1" s="1779"/>
      <c r="G1" s="1779"/>
      <c r="H1" s="1779"/>
      <c r="I1" s="1779"/>
      <c r="J1" s="1779"/>
      <c r="K1" s="1779"/>
      <c r="L1" s="1779"/>
      <c r="M1" s="1779"/>
      <c r="N1" s="1779"/>
      <c r="O1" s="1779"/>
      <c r="P1" s="1779"/>
      <c r="Q1" s="1780"/>
    </row>
    <row r="2" spans="1:21" ht="18" customHeight="1" thickBot="1" x14ac:dyDescent="0.25">
      <c r="A2" s="1787" t="s">
        <v>1700</v>
      </c>
      <c r="B2" s="1787"/>
      <c r="C2" s="1787"/>
      <c r="D2" s="1787"/>
      <c r="E2" s="1787"/>
      <c r="F2" s="1787"/>
      <c r="G2" s="1787"/>
      <c r="H2" s="1787"/>
      <c r="I2" s="1787"/>
      <c r="J2" s="1787"/>
      <c r="K2" s="1787"/>
      <c r="L2" s="1787"/>
      <c r="M2" s="1787"/>
      <c r="N2" s="1787"/>
      <c r="O2" s="1787"/>
      <c r="P2" s="1787"/>
      <c r="Q2" s="1787"/>
    </row>
    <row r="3" spans="1:21" ht="18" customHeight="1" thickBot="1" x14ac:dyDescent="0.25">
      <c r="A3" s="1787" t="s">
        <v>1701</v>
      </c>
      <c r="B3" s="1787"/>
      <c r="C3" s="1787"/>
      <c r="D3" s="1787"/>
      <c r="E3" s="1787"/>
      <c r="F3" s="1787"/>
      <c r="G3" s="1787"/>
      <c r="H3" s="1787"/>
      <c r="I3" s="1787"/>
      <c r="J3" s="1787"/>
      <c r="K3" s="1787"/>
      <c r="L3" s="1787"/>
      <c r="M3" s="1787"/>
      <c r="N3" s="1787"/>
      <c r="O3" s="1787"/>
      <c r="P3" s="1787"/>
      <c r="Q3" s="1787"/>
    </row>
    <row r="4" spans="1:21" ht="18" customHeight="1" thickBot="1" x14ac:dyDescent="0.25">
      <c r="A4" s="1788" t="s">
        <v>1702</v>
      </c>
      <c r="B4" s="1788"/>
      <c r="C4" s="1788"/>
      <c r="D4" s="1788"/>
      <c r="E4" s="1788"/>
      <c r="F4" s="1788"/>
      <c r="G4" s="1788"/>
      <c r="H4" s="1788"/>
      <c r="I4" s="1788"/>
      <c r="J4" s="1788"/>
      <c r="K4" s="1788"/>
      <c r="L4" s="1788"/>
      <c r="M4" s="1788"/>
      <c r="N4" s="1788"/>
      <c r="O4" s="1788"/>
      <c r="P4" s="1788"/>
      <c r="Q4" s="1788"/>
    </row>
    <row r="5" spans="1:21" ht="18" customHeight="1" thickBot="1" x14ac:dyDescent="0.25">
      <c r="A5" s="1781" t="s">
        <v>1703</v>
      </c>
      <c r="B5" s="1782"/>
      <c r="C5" s="1782"/>
      <c r="D5" s="1782"/>
      <c r="E5" s="1782"/>
      <c r="F5" s="1782"/>
      <c r="G5" s="1782"/>
      <c r="H5" s="1782"/>
      <c r="I5" s="1782"/>
      <c r="J5" s="1782"/>
      <c r="K5" s="1782"/>
      <c r="L5" s="1782"/>
      <c r="M5" s="1782"/>
      <c r="N5" s="1782"/>
      <c r="O5" s="1782"/>
      <c r="P5" s="1782"/>
      <c r="Q5" s="1783"/>
    </row>
    <row r="6" spans="1:21" ht="45" customHeight="1" thickBot="1" x14ac:dyDescent="0.3">
      <c r="A6" s="1390" t="s">
        <v>2469</v>
      </c>
      <c r="B6" s="1520"/>
      <c r="C6" s="1521"/>
      <c r="D6" s="1522" t="s">
        <v>912</v>
      </c>
      <c r="E6" s="1522"/>
      <c r="F6" s="1522"/>
      <c r="G6" s="1523"/>
      <c r="H6" s="1789" t="s">
        <v>2937</v>
      </c>
      <c r="I6" s="1789"/>
      <c r="J6" s="1789"/>
      <c r="K6" s="1789"/>
      <c r="L6" s="1789"/>
      <c r="M6" s="1789"/>
      <c r="N6" s="1789"/>
      <c r="O6" s="1789"/>
      <c r="P6" s="1789"/>
      <c r="Q6" s="1789"/>
    </row>
    <row r="7" spans="1:21" ht="45" customHeight="1" thickBot="1" x14ac:dyDescent="0.25">
      <c r="A7" s="1389" t="s">
        <v>2183</v>
      </c>
      <c r="B7" s="1478" t="s">
        <v>2565</v>
      </c>
      <c r="C7" s="1479" t="s">
        <v>2269</v>
      </c>
      <c r="D7" s="1480" t="s">
        <v>2564</v>
      </c>
      <c r="E7" s="1481" t="s">
        <v>2270</v>
      </c>
      <c r="F7" s="1391" t="s">
        <v>1688</v>
      </c>
      <c r="G7" s="1524" t="s">
        <v>1900</v>
      </c>
      <c r="H7" s="1516" t="s">
        <v>2919</v>
      </c>
      <c r="I7" s="1516" t="s">
        <v>2920</v>
      </c>
      <c r="J7" s="1516" t="s">
        <v>2921</v>
      </c>
      <c r="K7" s="1517" t="s">
        <v>2922</v>
      </c>
      <c r="L7" s="1517" t="s">
        <v>2923</v>
      </c>
      <c r="M7" s="1516" t="s">
        <v>2919</v>
      </c>
      <c r="N7" s="1516" t="s">
        <v>2920</v>
      </c>
      <c r="O7" s="1516" t="s">
        <v>2921</v>
      </c>
      <c r="P7" s="1517" t="s">
        <v>2924</v>
      </c>
      <c r="Q7" s="1517" t="s">
        <v>2925</v>
      </c>
      <c r="R7" s="1482"/>
      <c r="S7" s="1283"/>
      <c r="T7" s="1283"/>
      <c r="U7" s="1283"/>
    </row>
    <row r="8" spans="1:21" ht="18" customHeight="1" x14ac:dyDescent="0.2">
      <c r="A8" s="1284" t="s">
        <v>2463</v>
      </c>
      <c r="B8" s="1604" t="str">
        <f t="shared" ref="B8:B24" si="0">IF((F8=""),"",IF((F8&lt;H8),0, IF((F8&gt;I8),10,10*(F8-H8)/J8)))</f>
        <v/>
      </c>
      <c r="C8" s="1605" t="str">
        <f t="shared" ref="C8:C24" si="1">IF((B8=""),"",IF((B8&lt;=K8),"Lower", IF((B8&gt;=L8),"Higher", "Moderate")))</f>
        <v/>
      </c>
      <c r="D8" s="1606" t="str">
        <f t="shared" ref="D8:D13" si="2">IF((G8=""),"",IF((G8&lt;=M8),0, IF((G8&gt;N8),10, 10*(G8-M8)/O8)))</f>
        <v/>
      </c>
      <c r="E8" s="1605" t="str">
        <f t="shared" ref="E8:E13" si="3">IF((D8=""),"",IF((D8&lt;=P8),"Lower", IF((D8&gt;=Q8),"Higher", "Moderate")))</f>
        <v/>
      </c>
      <c r="F8" s="1637" t="str">
        <f>IF((SUM(F!$D$6:'F'!$D$10)=0),"",WS!G93)</f>
        <v/>
      </c>
      <c r="G8" s="1638" t="str">
        <f>IF((F8&lt;1),0,IF((F8=""),"",WS!G94))</f>
        <v/>
      </c>
      <c r="H8" s="1602">
        <v>1.7344287865748709</v>
      </c>
      <c r="I8" s="1602">
        <v>9.4174353664658632</v>
      </c>
      <c r="J8" s="1602">
        <v>7.6830065798909928</v>
      </c>
      <c r="K8" s="1602">
        <v>2.4837619766998551</v>
      </c>
      <c r="L8" s="1603">
        <v>5.1221815175751608</v>
      </c>
      <c r="M8" s="1602">
        <v>8.411843876177659E-2</v>
      </c>
      <c r="N8" s="1602">
        <v>10</v>
      </c>
      <c r="O8" s="1602">
        <v>9.9158815612382227</v>
      </c>
      <c r="P8" s="1602">
        <v>2.5825329615477304</v>
      </c>
      <c r="Q8" s="1602">
        <v>5.6727751442715828</v>
      </c>
      <c r="R8" s="1482"/>
      <c r="S8" s="1283"/>
      <c r="T8" s="1283"/>
      <c r="U8" s="1283"/>
    </row>
    <row r="9" spans="1:21" ht="18" customHeight="1" x14ac:dyDescent="0.2">
      <c r="A9" s="1285" t="s">
        <v>583</v>
      </c>
      <c r="B9" s="1607" t="str">
        <f t="shared" si="0"/>
        <v/>
      </c>
      <c r="C9" s="1608" t="str">
        <f t="shared" si="1"/>
        <v/>
      </c>
      <c r="D9" s="1609" t="str">
        <f t="shared" si="2"/>
        <v/>
      </c>
      <c r="E9" s="1608" t="str">
        <f t="shared" si="3"/>
        <v/>
      </c>
      <c r="F9" s="1639" t="str">
        <f>IF((SUM(F!$D6:'F'!$D10)=0),"",SFS!G46)</f>
        <v/>
      </c>
      <c r="G9" s="1640" t="str">
        <f>IF((F9&lt;1),0,IF((F9=""),"",SFS!G47))</f>
        <v/>
      </c>
      <c r="H9" s="1602">
        <v>0</v>
      </c>
      <c r="I9" s="1602">
        <v>5.333333333333333</v>
      </c>
      <c r="J9" s="1602">
        <v>5.333333333333333</v>
      </c>
      <c r="K9" s="1602">
        <v>2.916666666666667</v>
      </c>
      <c r="L9" s="1603">
        <v>6.5624999999999991</v>
      </c>
      <c r="M9" s="1602">
        <v>0</v>
      </c>
      <c r="N9" s="1602">
        <v>5.8293447880011939</v>
      </c>
      <c r="O9" s="1602">
        <v>5.8293447880011939</v>
      </c>
      <c r="P9" s="1602">
        <v>2.3354297207196804</v>
      </c>
      <c r="Q9" s="1602">
        <v>6.2363328752887499</v>
      </c>
      <c r="R9" s="1482"/>
      <c r="S9" s="1283"/>
      <c r="T9" s="1283"/>
      <c r="U9" s="1283"/>
    </row>
    <row r="10" spans="1:21" ht="18" customHeight="1" thickBot="1" x14ac:dyDescent="0.25">
      <c r="A10" s="1286" t="s">
        <v>2251</v>
      </c>
      <c r="B10" s="1610" t="str">
        <f t="shared" si="0"/>
        <v/>
      </c>
      <c r="C10" s="1611" t="str">
        <f t="shared" si="1"/>
        <v/>
      </c>
      <c r="D10" s="1612" t="str">
        <f t="shared" si="2"/>
        <v/>
      </c>
      <c r="E10" s="1611" t="str">
        <f t="shared" si="3"/>
        <v/>
      </c>
      <c r="F10" s="1641" t="str">
        <f>IF((SUM(F!D6:'F'!D10)=0),"",WC!G64)</f>
        <v/>
      </c>
      <c r="G10" s="1642" t="str">
        <f>IF((F10&lt;1),0,IF((F10=""),"",WC!G65))</f>
        <v/>
      </c>
      <c r="H10" s="1602">
        <v>0</v>
      </c>
      <c r="I10" s="1602">
        <v>6.6666666666666661</v>
      </c>
      <c r="J10" s="1602">
        <v>6.6666666666666661</v>
      </c>
      <c r="K10" s="1602">
        <v>1.8000000000000003</v>
      </c>
      <c r="L10" s="1603">
        <v>5.3</v>
      </c>
      <c r="M10" s="1602">
        <v>0</v>
      </c>
      <c r="N10" s="1602">
        <v>5.0928605670890157</v>
      </c>
      <c r="O10" s="1602">
        <v>5.0928605670890157</v>
      </c>
      <c r="P10" s="1602">
        <v>1.4946431743181088</v>
      </c>
      <c r="Q10" s="1602">
        <v>4.805460417272557</v>
      </c>
      <c r="R10" s="1482"/>
      <c r="S10" s="1283"/>
      <c r="T10" s="1283"/>
      <c r="U10" s="1283"/>
    </row>
    <row r="11" spans="1:21" ht="18" customHeight="1" x14ac:dyDescent="0.2">
      <c r="A11" s="1287" t="s">
        <v>2252</v>
      </c>
      <c r="B11" s="1604" t="str">
        <f t="shared" si="0"/>
        <v/>
      </c>
      <c r="C11" s="1605" t="str">
        <f t="shared" si="1"/>
        <v/>
      </c>
      <c r="D11" s="1606" t="str">
        <f t="shared" si="2"/>
        <v/>
      </c>
      <c r="E11" s="1605" t="str">
        <f t="shared" si="3"/>
        <v/>
      </c>
      <c r="F11" s="1637" t="str">
        <f>IF((SUM(F!D6:'F'!D10)=0),"",SR!G151)</f>
        <v/>
      </c>
      <c r="G11" s="1638" t="str">
        <f>IF((F11&lt;1),0,IF((F11=""),"",SR!G152))</f>
        <v/>
      </c>
      <c r="H11" s="1602">
        <v>3.1574074074074074</v>
      </c>
      <c r="I11" s="1602">
        <v>10</v>
      </c>
      <c r="J11" s="1602">
        <v>6.8425925925925926</v>
      </c>
      <c r="K11" s="1602">
        <v>2.0027063599458725</v>
      </c>
      <c r="L11" s="1603">
        <v>5.2638700947225985</v>
      </c>
      <c r="M11" s="1602">
        <v>0</v>
      </c>
      <c r="N11" s="1602">
        <v>6.0714285714285712</v>
      </c>
      <c r="O11" s="1602">
        <v>6.0714285714285712</v>
      </c>
      <c r="P11" s="1602">
        <v>3.751633986928105</v>
      </c>
      <c r="Q11" s="1602">
        <v>8.0261437908496731</v>
      </c>
      <c r="R11" s="1482"/>
      <c r="S11" s="1283"/>
      <c r="T11" s="1283"/>
      <c r="U11" s="1283"/>
    </row>
    <row r="12" spans="1:21" ht="18" customHeight="1" x14ac:dyDescent="0.2">
      <c r="A12" s="1285" t="s">
        <v>572</v>
      </c>
      <c r="B12" s="1607" t="str">
        <f t="shared" si="0"/>
        <v/>
      </c>
      <c r="C12" s="1608" t="str">
        <f t="shared" si="1"/>
        <v/>
      </c>
      <c r="D12" s="1609" t="str">
        <f t="shared" si="2"/>
        <v/>
      </c>
      <c r="E12" s="1608" t="str">
        <f t="shared" si="3"/>
        <v/>
      </c>
      <c r="F12" s="1639" t="str">
        <f>IF((SUM(F!D6:'F'!D10)=0),"",PR!G156)</f>
        <v/>
      </c>
      <c r="G12" s="1640" t="str">
        <f>IF((F12&lt;1),0,IF((F12=""),"",PR!G157))</f>
        <v/>
      </c>
      <c r="H12" s="1602">
        <v>2.9007378721234147</v>
      </c>
      <c r="I12" s="1602">
        <v>10</v>
      </c>
      <c r="J12" s="1602">
        <v>7.0992621278765853</v>
      </c>
      <c r="K12" s="1602">
        <v>3.2199647783381176</v>
      </c>
      <c r="L12" s="1603">
        <v>5.2911431294108242</v>
      </c>
      <c r="M12" s="1602">
        <v>0.33333333333333331</v>
      </c>
      <c r="N12" s="1602">
        <v>9.375</v>
      </c>
      <c r="O12" s="1602">
        <v>9.0416666666666661</v>
      </c>
      <c r="P12" s="1602">
        <v>1.7050691244239633</v>
      </c>
      <c r="Q12" s="1602">
        <v>4.5468509984639027</v>
      </c>
      <c r="R12" s="1482"/>
      <c r="S12" s="1283"/>
      <c r="T12" s="1283"/>
      <c r="U12" s="1283"/>
    </row>
    <row r="13" spans="1:21" ht="18" customHeight="1" thickBot="1" x14ac:dyDescent="0.25">
      <c r="A13" s="1286" t="s">
        <v>66</v>
      </c>
      <c r="B13" s="1610" t="str">
        <f t="shared" si="0"/>
        <v/>
      </c>
      <c r="C13" s="1611" t="str">
        <f t="shared" si="1"/>
        <v/>
      </c>
      <c r="D13" s="1612" t="str">
        <f t="shared" si="2"/>
        <v/>
      </c>
      <c r="E13" s="1611" t="str">
        <f t="shared" si="3"/>
        <v/>
      </c>
      <c r="F13" s="1641" t="str">
        <f>IF((SUM(F!D6:'F'!D10)=0),"",NR!G223)</f>
        <v/>
      </c>
      <c r="G13" s="1642" t="str">
        <f>IF((F13&lt;1),0,IF((F13=""),"",NR!G224))</f>
        <v/>
      </c>
      <c r="H13" s="1602">
        <v>3.8308783461904596</v>
      </c>
      <c r="I13" s="1602">
        <v>10</v>
      </c>
      <c r="J13" s="1602">
        <v>6.1691216538095404</v>
      </c>
      <c r="K13" s="1602">
        <v>2.2712753431849571</v>
      </c>
      <c r="L13" s="1603">
        <v>4.3550955580637192</v>
      </c>
      <c r="M13" s="1602">
        <v>1.1111111111111112</v>
      </c>
      <c r="N13" s="1602">
        <v>10</v>
      </c>
      <c r="O13" s="1602">
        <v>8.8888888888888893</v>
      </c>
      <c r="P13" s="1602">
        <v>2.4999999999999996</v>
      </c>
      <c r="Q13" s="1602">
        <v>7.1875</v>
      </c>
      <c r="R13" s="1482"/>
      <c r="S13" s="1283"/>
      <c r="T13" s="1283"/>
      <c r="U13" s="1283"/>
    </row>
    <row r="14" spans="1:21" ht="18" customHeight="1" x14ac:dyDescent="0.2">
      <c r="A14" s="1287" t="s">
        <v>16</v>
      </c>
      <c r="B14" s="1604" t="str">
        <f t="shared" si="0"/>
        <v/>
      </c>
      <c r="C14" s="1605" t="str">
        <f t="shared" si="1"/>
        <v/>
      </c>
      <c r="D14" s="1613"/>
      <c r="E14" s="1614"/>
      <c r="F14" s="1637" t="str">
        <f>IF((SUM(F!D6:'F'!D10)=0),"",CS!G120)</f>
        <v/>
      </c>
      <c r="G14" s="1643"/>
      <c r="H14" s="1602">
        <v>4.7394653016829222</v>
      </c>
      <c r="I14" s="1602">
        <v>8.8763386880856761</v>
      </c>
      <c r="J14" s="1602">
        <v>4.1368733864027538</v>
      </c>
      <c r="K14" s="1602">
        <v>3.5673406747448415</v>
      </c>
      <c r="L14" s="1603">
        <v>6.0804384284886526</v>
      </c>
      <c r="M14" s="1602"/>
      <c r="N14" s="1602"/>
      <c r="O14" s="1602"/>
      <c r="P14" s="1602"/>
      <c r="Q14" s="1602"/>
      <c r="R14" s="1482"/>
      <c r="S14" s="1283"/>
      <c r="T14" s="1283"/>
      <c r="U14" s="1283"/>
    </row>
    <row r="15" spans="1:21" ht="18" customHeight="1" thickBot="1" x14ac:dyDescent="0.25">
      <c r="A15" s="1286" t="s">
        <v>419</v>
      </c>
      <c r="B15" s="1610" t="str">
        <f t="shared" si="0"/>
        <v/>
      </c>
      <c r="C15" s="1611" t="str">
        <f t="shared" si="1"/>
        <v/>
      </c>
      <c r="D15" s="1615"/>
      <c r="E15" s="1616"/>
      <c r="F15" s="1641" t="str">
        <f>IF((SUM(F!D6:'F'!D10)=0),"",OE!G117)</f>
        <v/>
      </c>
      <c r="G15" s="1644"/>
      <c r="H15" s="1602">
        <v>2.3345099976626078</v>
      </c>
      <c r="I15" s="1602">
        <v>7.6382912602792112</v>
      </c>
      <c r="J15" s="1602">
        <v>5.303781262616603</v>
      </c>
      <c r="K15" s="1602">
        <v>3.1191750842593957</v>
      </c>
      <c r="L15" s="1603">
        <v>5.3136652961473558</v>
      </c>
      <c r="M15" s="1602"/>
      <c r="N15" s="1602"/>
      <c r="O15" s="1602"/>
      <c r="P15" s="1602"/>
      <c r="Q15" s="1602"/>
      <c r="R15" s="1482"/>
      <c r="S15" s="1283"/>
      <c r="T15" s="1283"/>
      <c r="U15" s="1283"/>
    </row>
    <row r="16" spans="1:21" ht="18" customHeight="1" x14ac:dyDescent="0.2">
      <c r="A16" s="1287" t="s">
        <v>18</v>
      </c>
      <c r="B16" s="1604" t="str">
        <f t="shared" si="0"/>
        <v/>
      </c>
      <c r="C16" s="1605" t="str">
        <f t="shared" si="1"/>
        <v/>
      </c>
      <c r="D16" s="1606" t="str">
        <f t="shared" ref="D16:D28" si="4">IF((G16=""),"",IF((G16&lt;=M16),0, IF((G16&gt;N16),10, 10*(G16-M16)/O16)))</f>
        <v/>
      </c>
      <c r="E16" s="1605" t="str">
        <f t="shared" ref="E16:E28" si="5">IF((D16=""),"",IF((D16&lt;=P16),"Lower", IF((D16&gt;=Q16),"Higher", "Moderate")))</f>
        <v/>
      </c>
      <c r="F16" s="1637" t="str">
        <f>IF((SUM(F!D6:'F'!D10)=0),"",FA!G151)</f>
        <v/>
      </c>
      <c r="G16" s="1638" t="str">
        <f>IF((F16&lt;1),0,IF((F16=""),"",FA!G152))</f>
        <v/>
      </c>
      <c r="H16" s="1602">
        <v>0</v>
      </c>
      <c r="I16" s="1602">
        <v>6.1256340579710145</v>
      </c>
      <c r="J16" s="1602">
        <v>6.1256340579710145</v>
      </c>
      <c r="K16" s="1602">
        <v>1.7998227261128961</v>
      </c>
      <c r="L16" s="1603">
        <v>6.8293182085720678</v>
      </c>
      <c r="M16" s="1602">
        <v>0</v>
      </c>
      <c r="N16" s="1602">
        <v>7.3932123555952209</v>
      </c>
      <c r="O16" s="1602">
        <v>7.3932123555952209</v>
      </c>
      <c r="P16" s="1602">
        <v>0</v>
      </c>
      <c r="Q16" s="1602">
        <v>4.7896400292432659</v>
      </c>
      <c r="R16" s="1482"/>
      <c r="S16" s="1283"/>
      <c r="T16" s="1283"/>
      <c r="U16" s="1283"/>
    </row>
    <row r="17" spans="1:21" ht="18" customHeight="1" thickBot="1" x14ac:dyDescent="0.25">
      <c r="A17" s="1286" t="s">
        <v>2253</v>
      </c>
      <c r="B17" s="1610" t="str">
        <f t="shared" si="0"/>
        <v/>
      </c>
      <c r="C17" s="1611" t="str">
        <f t="shared" si="1"/>
        <v/>
      </c>
      <c r="D17" s="1612" t="str">
        <f t="shared" si="4"/>
        <v/>
      </c>
      <c r="E17" s="1611" t="str">
        <f t="shared" si="5"/>
        <v/>
      </c>
      <c r="F17" s="1641" t="str">
        <f>IF((SUM(F!D6:'F'!D10)=0),"",FR!G134)</f>
        <v/>
      </c>
      <c r="G17" s="1642" t="str">
        <f>IF((F17&lt;1),0,IF((F17=""),"",FR!G135))</f>
        <v/>
      </c>
      <c r="H17" s="1602">
        <v>0</v>
      </c>
      <c r="I17" s="1602">
        <v>5.9521084337349395</v>
      </c>
      <c r="J17" s="1602">
        <v>5.9521084337349395</v>
      </c>
      <c r="K17" s="1602">
        <v>2.2355481335290044</v>
      </c>
      <c r="L17" s="1603">
        <v>6.4307924137892263</v>
      </c>
      <c r="M17" s="1602">
        <v>0</v>
      </c>
      <c r="N17" s="1602">
        <v>7.0932123555952211</v>
      </c>
      <c r="O17" s="1602">
        <v>7.0932123555952211</v>
      </c>
      <c r="P17" s="1602">
        <v>0</v>
      </c>
      <c r="Q17" s="1602">
        <v>4.4838231608252501</v>
      </c>
      <c r="R17" s="1482"/>
      <c r="S17" s="1283"/>
      <c r="T17" s="1283"/>
      <c r="U17" s="1283"/>
    </row>
    <row r="18" spans="1:21" ht="18" customHeight="1" x14ac:dyDescent="0.2">
      <c r="A18" s="1287" t="s">
        <v>17</v>
      </c>
      <c r="B18" s="1604" t="str">
        <f t="shared" si="0"/>
        <v/>
      </c>
      <c r="C18" s="1605" t="str">
        <f t="shared" si="1"/>
        <v/>
      </c>
      <c r="D18" s="1606" t="str">
        <f t="shared" si="4"/>
        <v/>
      </c>
      <c r="E18" s="1605" t="str">
        <f t="shared" si="5"/>
        <v/>
      </c>
      <c r="F18" s="1637" t="str">
        <f>IF((SUM(F!D6:'F'!D10)=0),"",INV!G155)</f>
        <v/>
      </c>
      <c r="G18" s="1638" t="str">
        <f>IF((F18&lt;1),0,IF((F18=""),"",INV!G156))</f>
        <v/>
      </c>
      <c r="H18" s="1602">
        <v>3.8732051220756043</v>
      </c>
      <c r="I18" s="1602">
        <v>7.3920025339453055</v>
      </c>
      <c r="J18" s="1602">
        <v>3.5187974118697012</v>
      </c>
      <c r="K18" s="1602">
        <v>2.583779632166725</v>
      </c>
      <c r="L18" s="1603">
        <v>5.91277829987507</v>
      </c>
      <c r="M18" s="1602">
        <v>1.2446164773733381</v>
      </c>
      <c r="N18" s="1602">
        <v>6.6359866733298647</v>
      </c>
      <c r="O18" s="1602">
        <v>5.3913701959565268</v>
      </c>
      <c r="P18" s="1602">
        <v>0.85056811978114411</v>
      </c>
      <c r="Q18" s="1602">
        <v>5.9744877938045509</v>
      </c>
      <c r="R18" s="1482"/>
      <c r="S18" s="1283"/>
      <c r="T18" s="1283"/>
      <c r="U18" s="1283"/>
    </row>
    <row r="19" spans="1:21" ht="18" customHeight="1" x14ac:dyDescent="0.2">
      <c r="A19" s="1285" t="s">
        <v>2216</v>
      </c>
      <c r="B19" s="1607" t="str">
        <f t="shared" si="0"/>
        <v/>
      </c>
      <c r="C19" s="1608" t="str">
        <f t="shared" si="1"/>
        <v/>
      </c>
      <c r="D19" s="1609" t="str">
        <f t="shared" si="4"/>
        <v/>
      </c>
      <c r="E19" s="1608" t="str">
        <f t="shared" si="5"/>
        <v/>
      </c>
      <c r="F19" s="1639" t="str">
        <f>IF((SUM(F!D6:'F'!D10)=0),"",AM!G211)</f>
        <v/>
      </c>
      <c r="G19" s="1640" t="str">
        <f>IF((F19&lt;1),0,IF((F19=""),"",AM!G212))</f>
        <v/>
      </c>
      <c r="H19" s="1602">
        <v>3.2995264390896923</v>
      </c>
      <c r="I19" s="1602">
        <v>8.5842483691379261</v>
      </c>
      <c r="J19" s="1602">
        <v>5.2847219300482333</v>
      </c>
      <c r="K19" s="1602">
        <v>3.2965131347573862</v>
      </c>
      <c r="L19" s="1603">
        <v>6.2548459719777973</v>
      </c>
      <c r="M19" s="1602">
        <v>2.0922675736961454</v>
      </c>
      <c r="N19" s="1602">
        <v>8.1571609188075058</v>
      </c>
      <c r="O19" s="1602">
        <v>6.0648933451113605</v>
      </c>
      <c r="P19" s="1602">
        <v>2.9265932345843368</v>
      </c>
      <c r="Q19" s="1602">
        <v>6.2958513512285217</v>
      </c>
      <c r="R19" s="1482"/>
      <c r="S19" s="1283"/>
      <c r="T19" s="1283"/>
      <c r="U19" s="1283"/>
    </row>
    <row r="20" spans="1:21" ht="18" customHeight="1" x14ac:dyDescent="0.2">
      <c r="A20" s="1285" t="s">
        <v>19</v>
      </c>
      <c r="B20" s="1607" t="str">
        <f t="shared" si="0"/>
        <v/>
      </c>
      <c r="C20" s="1608" t="str">
        <f t="shared" si="1"/>
        <v/>
      </c>
      <c r="D20" s="1609" t="str">
        <f t="shared" si="4"/>
        <v/>
      </c>
      <c r="E20" s="1608" t="str">
        <f t="shared" si="5"/>
        <v/>
      </c>
      <c r="F20" s="1639" t="str">
        <f>IF((SUM(F!D6:'F'!D19)=0),"",WBF!G171)</f>
        <v/>
      </c>
      <c r="G20" s="1640" t="str">
        <f>IF((F20&lt;1),0,IF((F20=""),"",WBF!G172))</f>
        <v/>
      </c>
      <c r="H20" s="1602">
        <v>0</v>
      </c>
      <c r="I20" s="1602">
        <v>7.9561101549053355</v>
      </c>
      <c r="J20" s="1602">
        <v>7.9561101549053355</v>
      </c>
      <c r="K20" s="1602">
        <v>0</v>
      </c>
      <c r="L20" s="1603">
        <v>6.8406771427999127</v>
      </c>
      <c r="M20" s="1602">
        <v>0</v>
      </c>
      <c r="N20" s="1602">
        <v>10</v>
      </c>
      <c r="O20" s="1602">
        <v>10</v>
      </c>
      <c r="P20" s="1602">
        <v>3.333333333333333</v>
      </c>
      <c r="Q20" s="1602">
        <v>7.9166666666666661</v>
      </c>
      <c r="R20" s="1482"/>
      <c r="S20" s="1283"/>
      <c r="T20" s="1283"/>
      <c r="U20" s="1283"/>
    </row>
    <row r="21" spans="1:21" ht="18" customHeight="1" thickBot="1" x14ac:dyDescent="0.25">
      <c r="A21" s="1286" t="s">
        <v>20</v>
      </c>
      <c r="B21" s="1610" t="str">
        <f t="shared" si="0"/>
        <v/>
      </c>
      <c r="C21" s="1611" t="str">
        <f t="shared" si="1"/>
        <v/>
      </c>
      <c r="D21" s="1612" t="str">
        <f t="shared" si="4"/>
        <v/>
      </c>
      <c r="E21" s="1611" t="str">
        <f t="shared" si="5"/>
        <v/>
      </c>
      <c r="F21" s="1641" t="str">
        <f>IF((SUM(F!D6:'F'!D10)=0),"",WBN!G197)</f>
        <v/>
      </c>
      <c r="G21" s="1642" t="str">
        <f>IF((F21&lt;1),0,IF((F21=""),"",WBN!G198))</f>
        <v/>
      </c>
      <c r="H21" s="1602">
        <v>0</v>
      </c>
      <c r="I21" s="1602">
        <v>8.5440806878306876</v>
      </c>
      <c r="J21" s="1602">
        <v>8.5440806878306876</v>
      </c>
      <c r="K21" s="1602">
        <v>1.9522163693574794</v>
      </c>
      <c r="L21" s="1603">
        <v>5.6308128171287244</v>
      </c>
      <c r="M21" s="1602">
        <v>0</v>
      </c>
      <c r="N21" s="1602">
        <v>10</v>
      </c>
      <c r="O21" s="1602">
        <v>10</v>
      </c>
      <c r="P21" s="1602">
        <v>0</v>
      </c>
      <c r="Q21" s="1602">
        <v>6.6666666666666661</v>
      </c>
      <c r="R21" s="1482"/>
      <c r="S21" s="1283"/>
      <c r="T21" s="1283"/>
      <c r="U21" s="1283"/>
    </row>
    <row r="22" spans="1:21" ht="18" customHeight="1" x14ac:dyDescent="0.2">
      <c r="A22" s="1287" t="s">
        <v>260</v>
      </c>
      <c r="B22" s="1604" t="str">
        <f t="shared" si="0"/>
        <v/>
      </c>
      <c r="C22" s="1605" t="str">
        <f t="shared" si="1"/>
        <v/>
      </c>
      <c r="D22" s="1606" t="str">
        <f t="shared" si="4"/>
        <v/>
      </c>
      <c r="E22" s="1605" t="str">
        <f t="shared" si="5"/>
        <v/>
      </c>
      <c r="F22" s="1637" t="str">
        <f>IF((SUM(F!D6:'F'!D10)=0),"",SBM!G186)</f>
        <v/>
      </c>
      <c r="G22" s="1638" t="str">
        <f>IF((F22&lt;1),0,IF((F22=""),"",SBM!G187))</f>
        <v/>
      </c>
      <c r="H22" s="1602">
        <v>0</v>
      </c>
      <c r="I22" s="1602">
        <v>8.2904761904761912</v>
      </c>
      <c r="J22" s="1602">
        <v>8.2904761904761912</v>
      </c>
      <c r="K22" s="1602">
        <v>2.5039887676303527</v>
      </c>
      <c r="L22" s="1603">
        <v>7.2432510051694434</v>
      </c>
      <c r="M22" s="1602">
        <v>0</v>
      </c>
      <c r="N22" s="1602">
        <v>10</v>
      </c>
      <c r="O22" s="1602">
        <v>10</v>
      </c>
      <c r="P22" s="1602">
        <v>3.333333333333333</v>
      </c>
      <c r="Q22" s="1602">
        <v>6.6666666666666661</v>
      </c>
      <c r="R22" s="1482"/>
      <c r="S22" s="1283"/>
      <c r="T22" s="1283"/>
      <c r="U22" s="1283"/>
    </row>
    <row r="23" spans="1:21" ht="18" customHeight="1" x14ac:dyDescent="0.2">
      <c r="A23" s="1285" t="s">
        <v>21</v>
      </c>
      <c r="B23" s="1607" t="str">
        <f t="shared" si="0"/>
        <v/>
      </c>
      <c r="C23" s="1608" t="str">
        <f t="shared" si="1"/>
        <v/>
      </c>
      <c r="D23" s="1609" t="str">
        <f t="shared" si="4"/>
        <v/>
      </c>
      <c r="E23" s="1608" t="str">
        <f t="shared" si="5"/>
        <v/>
      </c>
      <c r="F23" s="1639" t="str">
        <f>IF((SUM(F!D6:'F'!D10)=0),"",POL!G93)</f>
        <v/>
      </c>
      <c r="G23" s="1640" t="str">
        <f>IF((F23&lt;1),0,IF((F23=""),"",POL!G94))</f>
        <v/>
      </c>
      <c r="H23" s="1602">
        <v>0</v>
      </c>
      <c r="I23" s="1602">
        <v>8.0532407407407405</v>
      </c>
      <c r="J23" s="1602">
        <v>8.0532407407407405</v>
      </c>
      <c r="K23" s="1602">
        <v>0</v>
      </c>
      <c r="L23" s="1603">
        <v>7.8068410462776674</v>
      </c>
      <c r="M23" s="1602">
        <v>0</v>
      </c>
      <c r="N23" s="1602">
        <v>10</v>
      </c>
      <c r="O23" s="1602">
        <v>10</v>
      </c>
      <c r="P23" s="1602">
        <v>0</v>
      </c>
      <c r="Q23" s="1602">
        <v>6.6666666666666661</v>
      </c>
      <c r="R23" s="1482"/>
      <c r="S23" s="1283"/>
      <c r="T23" s="1283"/>
      <c r="U23" s="1283"/>
    </row>
    <row r="24" spans="1:21" ht="18" customHeight="1" thickBot="1" x14ac:dyDescent="0.25">
      <c r="A24" s="1286" t="s">
        <v>573</v>
      </c>
      <c r="B24" s="1610" t="str">
        <f t="shared" si="0"/>
        <v/>
      </c>
      <c r="C24" s="1611" t="str">
        <f t="shared" si="1"/>
        <v/>
      </c>
      <c r="D24" s="1612" t="str">
        <f t="shared" si="4"/>
        <v/>
      </c>
      <c r="E24" s="1611" t="str">
        <f t="shared" si="5"/>
        <v/>
      </c>
      <c r="F24" s="1641" t="str">
        <f>IF((SUM(F!D6:'F'!D10)=0),"",PH!G197)</f>
        <v/>
      </c>
      <c r="G24" s="1642" t="str">
        <f>IF((F24&lt;1),0,IF((F24=""),"",PH!G198))</f>
        <v/>
      </c>
      <c r="H24" s="1602">
        <v>3.084079909381114</v>
      </c>
      <c r="I24" s="1602">
        <v>7.1190586521911827</v>
      </c>
      <c r="J24" s="1602">
        <v>4.0349787428100683</v>
      </c>
      <c r="K24" s="1602">
        <v>4.7302220403356712</v>
      </c>
      <c r="L24" s="1603">
        <v>6.8221249797580326</v>
      </c>
      <c r="M24" s="1602">
        <v>0</v>
      </c>
      <c r="N24" s="1602">
        <v>8.6778439153439137</v>
      </c>
      <c r="O24" s="1602">
        <v>8.6778439153439137</v>
      </c>
      <c r="P24" s="1602">
        <v>0</v>
      </c>
      <c r="Q24" s="1602">
        <v>6.3345763520141807</v>
      </c>
      <c r="R24" s="1482"/>
      <c r="S24" s="1283"/>
      <c r="T24" s="1283"/>
      <c r="U24" s="1283"/>
    </row>
    <row r="25" spans="1:21" ht="18" customHeight="1" thickBot="1" x14ac:dyDescent="0.25">
      <c r="A25" s="1288" t="s">
        <v>279</v>
      </c>
      <c r="B25" s="1617"/>
      <c r="C25" s="1618"/>
      <c r="D25" s="1619" t="str">
        <f t="shared" si="4"/>
        <v/>
      </c>
      <c r="E25" s="1620" t="str">
        <f t="shared" si="5"/>
        <v/>
      </c>
      <c r="F25" s="1645"/>
      <c r="G25" s="1646" t="str">
        <f>IF((SUM(F!D6:'F'!D10)=0),"",PU!G60)</f>
        <v/>
      </c>
      <c r="H25" s="1599"/>
      <c r="I25" s="1599"/>
      <c r="J25" s="1599"/>
      <c r="K25" s="1600"/>
      <c r="L25" s="1600"/>
      <c r="M25" s="1602">
        <v>0.33333333333333331</v>
      </c>
      <c r="N25" s="1602">
        <v>7.4404761904761907</v>
      </c>
      <c r="O25" s="1602">
        <v>7.1071428571428577</v>
      </c>
      <c r="P25" s="1602">
        <v>2.4008933556672254</v>
      </c>
      <c r="Q25" s="1602">
        <v>5.5053042992741483</v>
      </c>
      <c r="R25" s="1482"/>
      <c r="S25" s="1283"/>
      <c r="T25" s="1283"/>
      <c r="U25" s="1283"/>
    </row>
    <row r="26" spans="1:21" ht="18" customHeight="1" x14ac:dyDescent="0.2">
      <c r="A26" s="1289" t="s">
        <v>1172</v>
      </c>
      <c r="B26" s="1621"/>
      <c r="C26" s="1622"/>
      <c r="D26" s="1623" t="str">
        <f t="shared" si="4"/>
        <v/>
      </c>
      <c r="E26" s="1624" t="str">
        <f t="shared" si="5"/>
        <v/>
      </c>
      <c r="F26" s="1647"/>
      <c r="G26" s="1648" t="str">
        <f>IF((SUM(F!D6:'F'!D10)=0),"",Sen!G194)</f>
        <v/>
      </c>
      <c r="H26" s="1599"/>
      <c r="I26" s="1599"/>
      <c r="J26" s="1599"/>
      <c r="K26" s="1601"/>
      <c r="L26" s="1601"/>
      <c r="M26" s="1602">
        <v>2.2036877304739892</v>
      </c>
      <c r="N26" s="1602">
        <v>5.196913811830953</v>
      </c>
      <c r="O26" s="1602">
        <v>2.9932260813569638</v>
      </c>
      <c r="P26" s="1602">
        <v>2.8777752857264471</v>
      </c>
      <c r="Q26" s="1602">
        <v>5.2987449126954287</v>
      </c>
      <c r="R26" s="1482"/>
      <c r="S26" s="1283"/>
      <c r="T26" s="1283"/>
      <c r="U26" s="1283"/>
    </row>
    <row r="27" spans="1:21" ht="18" customHeight="1" x14ac:dyDescent="0.2">
      <c r="A27" s="1285" t="s">
        <v>1699</v>
      </c>
      <c r="B27" s="1625"/>
      <c r="C27" s="1626"/>
      <c r="D27" s="1609" t="str">
        <f t="shared" si="4"/>
        <v/>
      </c>
      <c r="E27" s="1608" t="str">
        <f t="shared" si="5"/>
        <v/>
      </c>
      <c r="F27" s="1647"/>
      <c r="G27" s="1640" t="str">
        <f>IF((SUM(F!D6:'F'!D10)=0),"",EC!G30)</f>
        <v/>
      </c>
      <c r="H27" s="1599"/>
      <c r="I27" s="1599"/>
      <c r="J27" s="1599"/>
      <c r="K27" s="1600"/>
      <c r="L27" s="1600"/>
      <c r="M27" s="1602">
        <v>4.1111111111111107</v>
      </c>
      <c r="N27" s="1602">
        <v>10</v>
      </c>
      <c r="O27" s="1602">
        <v>5.8888888888888893</v>
      </c>
      <c r="P27" s="1602">
        <v>3.3962264150943406</v>
      </c>
      <c r="Q27" s="1602">
        <v>6.4622641509433958</v>
      </c>
      <c r="R27" s="1482"/>
      <c r="S27" s="1283"/>
      <c r="T27" s="1283"/>
      <c r="U27" s="1283"/>
    </row>
    <row r="28" spans="1:21" ht="18" customHeight="1" thickBot="1" x14ac:dyDescent="0.25">
      <c r="A28" s="1290" t="s">
        <v>2548</v>
      </c>
      <c r="B28" s="1627"/>
      <c r="C28" s="1628"/>
      <c r="D28" s="1629" t="str">
        <f t="shared" si="4"/>
        <v/>
      </c>
      <c r="E28" s="1630" t="str">
        <f t="shared" si="5"/>
        <v/>
      </c>
      <c r="F28" s="1649"/>
      <c r="G28" s="1650" t="str">
        <f>IF((SUM(F!D6:'F'!D10)=0),"",STR!G86)</f>
        <v/>
      </c>
      <c r="H28" s="1599"/>
      <c r="I28" s="1599"/>
      <c r="J28" s="1599"/>
      <c r="K28" s="1600"/>
      <c r="L28" s="1600"/>
      <c r="M28" s="1602">
        <v>2.2604166666666665</v>
      </c>
      <c r="N28" s="1602">
        <v>5.934606481481481</v>
      </c>
      <c r="O28" s="1602">
        <v>3.6741898148148144</v>
      </c>
      <c r="P28" s="1602">
        <v>2.1523074499921253</v>
      </c>
      <c r="Q28" s="1602">
        <v>4.9661363994329832</v>
      </c>
      <c r="R28" s="1482"/>
      <c r="S28" s="1283"/>
      <c r="T28" s="1283"/>
      <c r="U28" s="1283"/>
    </row>
    <row r="29" spans="1:21" ht="24" customHeight="1" thickBot="1" x14ac:dyDescent="0.25">
      <c r="A29" s="1291" t="s">
        <v>617</v>
      </c>
      <c r="B29" s="1617"/>
      <c r="C29" s="1618"/>
      <c r="D29" s="1631"/>
      <c r="E29" s="1618"/>
      <c r="F29" s="1645"/>
      <c r="G29" s="1651"/>
      <c r="H29" s="1518"/>
      <c r="I29" s="1518"/>
      <c r="J29" s="1518"/>
      <c r="K29" s="1518"/>
      <c r="L29" s="1518"/>
      <c r="M29" s="1518"/>
      <c r="N29" s="1518"/>
      <c r="O29" s="1518"/>
      <c r="P29" s="1518"/>
      <c r="Q29" s="1518"/>
      <c r="R29" s="1482"/>
      <c r="S29" s="1283"/>
      <c r="T29" s="1283"/>
      <c r="U29" s="1283"/>
    </row>
    <row r="30" spans="1:21" ht="21" customHeight="1" x14ac:dyDescent="0.2">
      <c r="A30" s="1292" t="s">
        <v>1696</v>
      </c>
      <c r="B30" s="1632" t="str">
        <f>B8</f>
        <v/>
      </c>
      <c r="C30" s="1624" t="str">
        <f>IF((B30=""),"",C8)</f>
        <v/>
      </c>
      <c r="D30" s="1623" t="str">
        <f>D8</f>
        <v/>
      </c>
      <c r="E30" s="1624" t="str">
        <f>IF((D30=""),"",E8)</f>
        <v/>
      </c>
      <c r="F30" s="1652" t="str">
        <f t="shared" ref="F30:G30" si="6">IF((F8=""),"",F8)</f>
        <v/>
      </c>
      <c r="G30" s="1648" t="str">
        <f t="shared" si="6"/>
        <v/>
      </c>
      <c r="H30" s="1518"/>
      <c r="I30" s="1518"/>
      <c r="J30" s="1518"/>
      <c r="K30" s="1518"/>
      <c r="L30" s="1518"/>
      <c r="M30" s="1518"/>
      <c r="N30" s="1518"/>
      <c r="O30" s="1518"/>
      <c r="P30" s="1518"/>
      <c r="Q30" s="1518"/>
      <c r="R30" s="1482"/>
      <c r="S30" s="1283"/>
      <c r="T30" s="1283"/>
      <c r="U30" s="1283"/>
    </row>
    <row r="31" spans="1:21" ht="27.75" customHeight="1" x14ac:dyDescent="0.2">
      <c r="A31" s="1293" t="s">
        <v>2276</v>
      </c>
      <c r="B31" s="1607" t="str">
        <f>IFERROR((MAX(B11:B14)+AVERAGE(B11:B14))/2,"")</f>
        <v/>
      </c>
      <c r="C31" s="1608" t="str">
        <f>IF((B31=""),"",IF(OR(C14="Higher",C11="Higher",C12="Higher",C13="Higher"),"Higher",IF(OR(C14="Moderate",C11="Moderate",C12="Moderate",C13="Moderate"),"Moderate","Lower")))</f>
        <v/>
      </c>
      <c r="D31" s="1607" t="str">
        <f>IFERROR((MAX(D11:D14)+AVERAGE(D11:D14))/2,"")</f>
        <v/>
      </c>
      <c r="E31" s="1608" t="str">
        <f>IF((D31=""),"",IF(OR(E14="Higher",E11="Higher",E12="Higher",E13="Higher"),"Higher",IF(OR(E14="Moderate",E11="Moderate",E12="Moderate",E13="Moderate"),"Moderate","Lower")))</f>
        <v/>
      </c>
      <c r="F31" s="1639" t="str">
        <f>IF((F11=""),"", (MAX(F11:F14) + AVERAGE(F11:F14))/2)</f>
        <v/>
      </c>
      <c r="G31" s="1640" t="str">
        <f>IF((F31=""),"", IF((F31&lt;1),0,(MAX(G11:G14) + AVERAGE(G11:G14))/2))</f>
        <v/>
      </c>
      <c r="H31" s="1518"/>
      <c r="I31" s="1518"/>
      <c r="J31" s="1518"/>
      <c r="K31" s="1518"/>
      <c r="L31" s="1518"/>
      <c r="M31" s="1518"/>
      <c r="N31" s="1518"/>
      <c r="O31" s="1518"/>
      <c r="P31" s="1518"/>
      <c r="Q31" s="1540"/>
      <c r="R31" s="1482"/>
      <c r="S31" s="1482"/>
      <c r="T31" s="1283"/>
      <c r="U31" s="1283"/>
    </row>
    <row r="32" spans="1:21" ht="21" customHeight="1" x14ac:dyDescent="0.2">
      <c r="A32" s="1293" t="s">
        <v>1698</v>
      </c>
      <c r="B32" s="1607" t="str">
        <f>IFERROR((MAX(B9,B10,B15,B18)+AVERAGE(B9,B10,B15,B18))/2,"")</f>
        <v/>
      </c>
      <c r="C32" s="1608" t="str">
        <f>IF((B32=""),"",IF(OR(C9="Higher",C10="Higher",C15="Higher",C18="Higher"),"Higher",IF(OR(C9="Moderate",C10="Moderate",C15="Moderate",C18="Moderate"),"Moderate","Lower")))</f>
        <v/>
      </c>
      <c r="D32" s="1607" t="str">
        <f>IFERROR((MAX(D9,D10,D15,D18)+AVERAGE(D9,D10,D15,D18))/2,"")</f>
        <v/>
      </c>
      <c r="E32" s="1608" t="str">
        <f>IF((D32=""),"",IF(OR(E9="Higher",E10="Higher",E15="Higher",E18="Higher"),"Higher",IF(OR(E9="Moderate",E10="Moderate",E15="Moderate",E18="Moderate"),"Moderate","Lower")))</f>
        <v/>
      </c>
      <c r="F32" s="1639" t="str">
        <f>IF((F18=""),"", (MAX(F9,F18,F10,F15) + AVERAGE(F9,F10,F15,F18))/2)</f>
        <v/>
      </c>
      <c r="G32" s="1640" t="str">
        <f>IF((G18=""),"", (MAX(G9,G18,G10,G15) + AVERAGE(G9,G10,G15,G18))/2)</f>
        <v/>
      </c>
      <c r="H32" s="1518"/>
      <c r="I32" s="1518"/>
      <c r="J32" s="1518"/>
      <c r="K32" s="1518"/>
      <c r="L32" s="1518"/>
      <c r="M32" s="1518"/>
      <c r="N32" s="1518"/>
      <c r="O32" s="1518"/>
      <c r="P32" s="1518"/>
      <c r="Q32" s="1518"/>
      <c r="R32" s="1482"/>
      <c r="S32" s="1482"/>
      <c r="T32" s="1283"/>
      <c r="U32" s="1283"/>
    </row>
    <row r="33" spans="1:21" ht="21" customHeight="1" x14ac:dyDescent="0.2">
      <c r="A33" s="1293" t="s">
        <v>1697</v>
      </c>
      <c r="B33" s="1607" t="str">
        <f>IFERROR((MAX(B16,B17,B19,B20,B21)+AVERAGE(B16,B17,B19,B20,B21))/2,"")</f>
        <v/>
      </c>
      <c r="C33" s="1608" t="str">
        <f>IF((B33=""),"",IF(OR(C16="Higher",C17="Higher",C19="Higher",C20="Higher",C21="Higher"),"Higher",IF(OR(C16="Moderate",C17="Moderate",C19="Moderate",C20="Moderate",C21="Moderate"),"Moderate","Lower")))</f>
        <v/>
      </c>
      <c r="D33" s="1607" t="str">
        <f>IFERROR((MAX(D16,D17,D19,D20,D21)+AVERAGE(D16,D17,D19,D20,D21))/2,"")</f>
        <v/>
      </c>
      <c r="E33" s="1608" t="str">
        <f>IF((D33=""),"",IF(OR(E16="Higher",E17="Higher",E19="Higher",E20="Higher",E21="Higher"),"Higher",IF(OR(E16="Moderate",E17="Moderate",E19="Moderate",E20="Moderate",E21="Moderate"),"Moderate","Lower")))</f>
        <v/>
      </c>
      <c r="F33" s="1639" t="str">
        <f>IF((F19=""),"",(MAX(F16,F17,F19,F20,F21)+AVERAGE(F16,F17,F19,F20,F21))/2)</f>
        <v/>
      </c>
      <c r="G33" s="1640" t="str">
        <f>IF((F33=""),"", IF((F33&lt;1),0,(MAX(G16, G17,G19,G20,G21)+ AVERAGE(G16, G17,G19,G20,G21))/2))</f>
        <v/>
      </c>
      <c r="H33" s="1518"/>
      <c r="I33" s="1518"/>
      <c r="J33" s="1518"/>
      <c r="K33" s="1518"/>
      <c r="L33" s="1518"/>
      <c r="M33" s="1518"/>
      <c r="N33" s="1518"/>
      <c r="O33" s="1518"/>
      <c r="P33" s="1518"/>
      <c r="Q33" s="1518"/>
      <c r="R33" s="1482"/>
      <c r="S33" s="1482"/>
      <c r="T33" s="1283"/>
      <c r="U33" s="1283"/>
    </row>
    <row r="34" spans="1:21" ht="21" customHeight="1" thickBot="1" x14ac:dyDescent="0.25">
      <c r="A34" s="1294" t="s">
        <v>2275</v>
      </c>
      <c r="B34" s="1633" t="str">
        <f>IFERROR((MAX(B22,B23,B24)+AVERAGE(B22,B23,B24))/2,"")</f>
        <v/>
      </c>
      <c r="C34" s="1608" t="str">
        <f>IF((B34=""),"",IF(OR(C22="Higher",C23="Higher",C24="Higher"),"Higher",IF(OR(C22="Moderate",C23="Moderate",C24="Moderate"),"Moderate","Lower")))</f>
        <v/>
      </c>
      <c r="D34" s="1633" t="str">
        <f>IFERROR((MAX(D22,D23,D24)+AVERAGE(D22,D23,D24))/2,"")</f>
        <v/>
      </c>
      <c r="E34" s="1608" t="str">
        <f>IF((D34=""),"",IF(OR(E22="Higher",E23="Higher",E24="Higher"),"Higher",IF(OR(E22="Moderate",E23="Moderate",E24="Moderate"),"Moderate","Lower")))</f>
        <v/>
      </c>
      <c r="F34" s="1653" t="str">
        <f>IF((F22=""),"", (MAX(F22,F24,F23)+ AVERAGE(F22,F24,F23))/2)</f>
        <v/>
      </c>
      <c r="G34" s="1650" t="str">
        <f>IF((F34=""),"", IF((F34&lt;1),0, (MAX(G22,G24,G23)+ AVERAGE(G22,G24,G23))/2))</f>
        <v/>
      </c>
      <c r="H34" s="1518"/>
      <c r="I34" s="1518"/>
      <c r="J34" s="1518"/>
      <c r="K34" s="1518"/>
      <c r="L34" s="1518"/>
      <c r="M34" s="1518"/>
      <c r="N34" s="1518"/>
      <c r="O34" s="1518"/>
      <c r="P34" s="1518"/>
      <c r="Q34" s="1518"/>
      <c r="R34" s="1482"/>
      <c r="S34" s="1482"/>
      <c r="T34" s="1283"/>
      <c r="U34" s="1283"/>
    </row>
    <row r="35" spans="1:21" ht="21" customHeight="1" x14ac:dyDescent="0.2">
      <c r="A35" s="1295" t="s">
        <v>2268</v>
      </c>
      <c r="B35" s="1634"/>
      <c r="C35" s="1614"/>
      <c r="D35" s="1606" t="str">
        <f>D27</f>
        <v/>
      </c>
      <c r="E35" s="1605" t="str">
        <f t="shared" ref="E35" si="7">IF((D35=""),"",IF((D35&lt;=P35),"Lower", IF((D35&gt;=Q35),"Higher", "Moderate")))</f>
        <v/>
      </c>
      <c r="F35" s="1654"/>
      <c r="G35" s="1638" t="str">
        <f>IF((G27=""),"",G27)</f>
        <v/>
      </c>
      <c r="H35" s="1518"/>
      <c r="I35" s="1518"/>
      <c r="J35" s="1518"/>
      <c r="K35" s="1519"/>
      <c r="L35" s="1519"/>
      <c r="M35" s="1518"/>
      <c r="N35" s="1518"/>
      <c r="O35" s="1518"/>
      <c r="P35" s="1518"/>
      <c r="Q35" s="1540"/>
      <c r="R35" s="1482"/>
      <c r="S35" s="1482"/>
      <c r="T35" s="1283"/>
      <c r="U35" s="1283"/>
    </row>
    <row r="36" spans="1:21" ht="21" customHeight="1" thickBot="1" x14ac:dyDescent="0.25">
      <c r="A36" s="1296" t="s">
        <v>1897</v>
      </c>
      <c r="B36" s="1635"/>
      <c r="C36" s="1616"/>
      <c r="D36" s="1612" t="str">
        <f>IF((D26=""),"",AVERAGE(D26,D28))</f>
        <v/>
      </c>
      <c r="E36" s="1636"/>
      <c r="F36" s="1655"/>
      <c r="G36" s="1642" t="str">
        <f>IF((G26=""),"",AVERAGE(G26,G28))</f>
        <v/>
      </c>
      <c r="H36" s="1518"/>
      <c r="I36" s="1518"/>
      <c r="J36" s="1518"/>
      <c r="K36" s="1519"/>
      <c r="L36" s="1519"/>
      <c r="M36" s="1518"/>
      <c r="N36" s="1518"/>
      <c r="O36" s="1518"/>
      <c r="P36" s="1518"/>
      <c r="Q36" s="1540"/>
      <c r="R36" s="1482"/>
      <c r="S36" s="1482"/>
      <c r="T36" s="1283"/>
      <c r="U36" s="1283"/>
    </row>
    <row r="37" spans="1:21" ht="52.5" customHeight="1" thickBot="1" x14ac:dyDescent="0.25">
      <c r="B37" s="1784" t="s">
        <v>2916</v>
      </c>
      <c r="C37" s="1785"/>
      <c r="D37" s="1785"/>
      <c r="E37" s="1785"/>
      <c r="F37" s="1785"/>
      <c r="G37" s="1786"/>
      <c r="R37" s="1482"/>
      <c r="S37" s="1482"/>
      <c r="T37" s="1283"/>
      <c r="U37" s="1283"/>
    </row>
    <row r="38" spans="1:21" ht="15.75" customHeight="1" x14ac:dyDescent="0.2"/>
    <row r="41" spans="1:21" x14ac:dyDescent="0.2">
      <c r="E41" s="1299"/>
    </row>
  </sheetData>
  <sheetProtection algorithmName="SHA-512" hashValue="LIjkS71D24o2qpJpls3KJjmRdk1XkVOtc17+NvMH5A3+iZ2y4kgav4lQBhmvDsJhOVNE2irBDcgIZppOM1H57A==" saltValue="3vE+5KNi/qNO1sjBBLiqsg==" spinCount="100000" sheet="1" formatCells="0" formatColumns="0" formatRows="0"/>
  <customSheetViews>
    <customSheetView guid="{B8E02330-2419-4DE6-AD01-7ACC7A5D18DD}" hiddenColumns="1">
      <selection sqref="A1:I1"/>
      <pageMargins left="0.25" right="0.25" top="0.75" bottom="0.75" header="0.3" footer="0.3"/>
      <pageSetup orientation="portrait" r:id="rId1"/>
      <headerFooter alignWithMargins="0"/>
    </customSheetView>
  </customSheetViews>
  <mergeCells count="7">
    <mergeCell ref="A1:Q1"/>
    <mergeCell ref="A5:Q5"/>
    <mergeCell ref="B37:G37"/>
    <mergeCell ref="A2:Q2"/>
    <mergeCell ref="A3:Q3"/>
    <mergeCell ref="A4:Q4"/>
    <mergeCell ref="H6:Q6"/>
  </mergeCells>
  <phoneticPr fontId="3" type="noConversion"/>
  <conditionalFormatting sqref="E36">
    <cfRule type="expression" dxfId="2" priority="1">
      <formula>"enter =ISERROR(B8:C31)"</formula>
    </cfRule>
  </conditionalFormatting>
  <conditionalFormatting sqref="F8:G30 F35:F36">
    <cfRule type="expression" dxfId="1" priority="32">
      <formula>"enter =ISERROR(B8:C31)"</formula>
    </cfRule>
  </conditionalFormatting>
  <conditionalFormatting sqref="M31 I33 H35:H36">
    <cfRule type="expression" dxfId="0" priority="2">
      <formula>"enter =ISERROR(B8:C31)"</formula>
    </cfRule>
  </conditionalFormatting>
  <pageMargins left="0.25" right="0.25" top="0.75" bottom="0.75" header="0.3" footer="0.3"/>
  <pageSetup scale="70" orientation="portrait"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117"/>
  <sheetViews>
    <sheetView topLeftCell="A20" zoomScaleNormal="100" workbookViewId="0">
      <selection activeCell="J54" sqref="J54"/>
    </sheetView>
  </sheetViews>
  <sheetFormatPr defaultColWidth="9.33203125" defaultRowHeight="15" customHeight="1" x14ac:dyDescent="0.2"/>
  <cols>
    <col min="1" max="1" width="5.83203125" style="30" customWidth="1"/>
    <col min="2" max="2" width="18.83203125" style="30" customWidth="1"/>
    <col min="3" max="3" width="75.83203125" style="29" customWidth="1"/>
    <col min="4" max="4" width="7.83203125" style="278" customWidth="1"/>
    <col min="5" max="5" width="7.83203125" style="248" customWidth="1"/>
    <col min="6" max="6" width="7.83203125" style="249" customWidth="1"/>
    <col min="7" max="7" width="9.33203125" style="250" customWidth="1"/>
    <col min="8" max="8" width="65.83203125" style="2" customWidth="1"/>
    <col min="9" max="9" width="10" style="2" customWidth="1"/>
    <col min="10" max="10" width="9.33203125" style="29"/>
    <col min="11" max="11" width="71.6640625" style="56" customWidth="1"/>
    <col min="12" max="16384" width="9.33203125" style="29"/>
  </cols>
  <sheetData>
    <row r="1" spans="1:11" s="1345" customFormat="1" ht="45" customHeight="1" thickBot="1" x14ac:dyDescent="0.25">
      <c r="A1" s="1811" t="s">
        <v>2340</v>
      </c>
      <c r="B1" s="1812"/>
      <c r="C1" s="1393" t="s">
        <v>1057</v>
      </c>
      <c r="D1" s="1392" t="s">
        <v>1058</v>
      </c>
      <c r="E1" s="1818"/>
      <c r="F1" s="1819"/>
      <c r="G1" s="1819"/>
      <c r="H1" s="1819"/>
      <c r="I1" s="1819"/>
      <c r="K1" s="247"/>
    </row>
    <row r="2" spans="1:11" s="832" customFormat="1" ht="36" customHeight="1" thickBot="1" x14ac:dyDescent="0.25">
      <c r="A2" s="833" t="s">
        <v>88</v>
      </c>
      <c r="B2" s="833" t="s">
        <v>1424</v>
      </c>
      <c r="C2" s="834" t="s">
        <v>1164</v>
      </c>
      <c r="D2" s="833" t="s">
        <v>45</v>
      </c>
      <c r="E2" s="835" t="s">
        <v>1188</v>
      </c>
      <c r="F2" s="836" t="s">
        <v>1189</v>
      </c>
      <c r="G2" s="837" t="s">
        <v>2576</v>
      </c>
      <c r="H2" s="838" t="s">
        <v>1117</v>
      </c>
      <c r="I2" s="839" t="s">
        <v>2427</v>
      </c>
    </row>
    <row r="3" spans="1:11" ht="92.25" customHeight="1" thickBot="1" x14ac:dyDescent="0.25">
      <c r="A3" s="1817" t="str">
        <f>OF!A109</f>
        <v>OF22</v>
      </c>
      <c r="B3" s="1790" t="str">
        <f>OF!B109</f>
        <v>Wetland as a % of Its Contributing Area (Catchment)</v>
      </c>
      <c r="C3" s="226" t="str">
        <f>OF!C109</f>
        <v>From a topographic map and field observations, estimate the approximate boundaries of the catchment (CA) of the entire wetland of which the AA may be only a part. Then adjust those boundaries if necessary based on your field observations of the surrounding terrain, and/or by using procedures described in the Manual.  Divide the area of the wetland (not just the AA) by the approximate area of its catchment excluding the area of the wetland itself.  When doing the calculation, if ponded water is adjacent to the wetland, include that in the wetland's area.  The result is:</v>
      </c>
      <c r="D3" s="251"/>
      <c r="E3" s="267"/>
      <c r="F3" s="273"/>
      <c r="G3" s="745">
        <f>MAX(F4:F7)/MAX(E4:E7)</f>
        <v>0</v>
      </c>
      <c r="H3" s="1820" t="s">
        <v>1879</v>
      </c>
      <c r="I3" s="1802" t="s">
        <v>2358</v>
      </c>
    </row>
    <row r="4" spans="1:11" ht="15" customHeight="1" x14ac:dyDescent="0.2">
      <c r="A4" s="1817"/>
      <c r="B4" s="1790"/>
      <c r="C4" s="1329" t="str">
        <f>OF!C110</f>
        <v>&lt;0.01, or catchment size unknown due to stormwater pipes that collect water from an indeterminate area.</v>
      </c>
      <c r="D4" s="134">
        <f>OF!D110</f>
        <v>0</v>
      </c>
      <c r="E4" s="254">
        <v>0</v>
      </c>
      <c r="F4" s="255">
        <f>D4*E4</f>
        <v>0</v>
      </c>
      <c r="G4" s="274"/>
      <c r="H4" s="1821"/>
      <c r="I4" s="1803"/>
    </row>
    <row r="5" spans="1:11" ht="15" customHeight="1" x14ac:dyDescent="0.2">
      <c r="A5" s="1817"/>
      <c r="B5" s="1790"/>
      <c r="C5" s="1330" t="str">
        <f>OF!C111</f>
        <v>0.01 to 0.1.</v>
      </c>
      <c r="D5" s="122">
        <f>OF!D111</f>
        <v>0</v>
      </c>
      <c r="E5" s="254">
        <v>1</v>
      </c>
      <c r="F5" s="255">
        <f>D5*E5</f>
        <v>0</v>
      </c>
      <c r="G5" s="271"/>
      <c r="H5" s="1821"/>
      <c r="I5" s="1803"/>
    </row>
    <row r="6" spans="1:11" ht="15" customHeight="1" x14ac:dyDescent="0.2">
      <c r="A6" s="1817"/>
      <c r="B6" s="1790"/>
      <c r="C6" s="1330" t="str">
        <f>OF!C112</f>
        <v>0.1 to 1.</v>
      </c>
      <c r="D6" s="122">
        <f>OF!D112</f>
        <v>0</v>
      </c>
      <c r="E6" s="254">
        <v>2</v>
      </c>
      <c r="F6" s="255">
        <f>D6*E6</f>
        <v>0</v>
      </c>
      <c r="G6" s="271"/>
      <c r="H6" s="1821"/>
      <c r="I6" s="1803"/>
    </row>
    <row r="7" spans="1:11" ht="27" customHeight="1" thickBot="1" x14ac:dyDescent="0.25">
      <c r="A7" s="1817"/>
      <c r="B7" s="1790"/>
      <c r="C7" s="1331" t="str">
        <f>OF!C113</f>
        <v xml:space="preserve">&gt;1 (wetland is larger than its catchment (e.g., wetland with flat surrounding terrain and no inlet, or is entirely isolated by dikes, or is a raised bog). </v>
      </c>
      <c r="D7" s="136">
        <f>OF!D113</f>
        <v>0</v>
      </c>
      <c r="E7" s="258">
        <v>3</v>
      </c>
      <c r="F7" s="269">
        <f>D7*E7</f>
        <v>0</v>
      </c>
      <c r="G7" s="257"/>
      <c r="H7" s="1822"/>
      <c r="I7" s="1804"/>
    </row>
    <row r="8" spans="1:11" ht="26.25" customHeight="1" thickBot="1" x14ac:dyDescent="0.25">
      <c r="A8" s="1813" t="str">
        <f>OF!A122</f>
        <v>OF25</v>
      </c>
      <c r="B8" s="1816" t="str">
        <f>OF!B122</f>
        <v>Aspect</v>
      </c>
      <c r="C8" s="229" t="str">
        <f>OF!C122</f>
        <v>The overland flow direction of most surface water (in streams, rivers, or runoff) that enters the AA is:</v>
      </c>
      <c r="D8" s="251"/>
      <c r="E8" s="251"/>
      <c r="F8" s="270"/>
      <c r="G8" s="262">
        <f>MAX(F9:F11)/MAX(E9:E11)</f>
        <v>0</v>
      </c>
      <c r="H8" s="1721" t="s">
        <v>579</v>
      </c>
      <c r="I8" s="1805" t="s">
        <v>2359</v>
      </c>
    </row>
    <row r="9" spans="1:11" ht="15" customHeight="1" x14ac:dyDescent="0.2">
      <c r="A9" s="1814"/>
      <c r="B9" s="1790"/>
      <c r="C9" s="1329" t="str">
        <f>OF!C123</f>
        <v>Northward (N, NE). north-facing contributing area.</v>
      </c>
      <c r="D9" s="134">
        <f>OF!D123</f>
        <v>0</v>
      </c>
      <c r="E9" s="254">
        <v>1</v>
      </c>
      <c r="F9" s="255">
        <f>D9*E9</f>
        <v>0</v>
      </c>
      <c r="G9" s="263"/>
      <c r="H9" s="1703"/>
      <c r="I9" s="1803"/>
    </row>
    <row r="10" spans="1:11" ht="15" customHeight="1" x14ac:dyDescent="0.2">
      <c r="A10" s="1814"/>
      <c r="B10" s="1790"/>
      <c r="C10" s="1329" t="str">
        <f>OF!C124</f>
        <v>Southward (S, SW). south-facing contributing area.</v>
      </c>
      <c r="D10" s="134">
        <f>OF!D124</f>
        <v>0</v>
      </c>
      <c r="E10" s="254">
        <v>3</v>
      </c>
      <c r="F10" s="255">
        <f>D10*E10</f>
        <v>0</v>
      </c>
      <c r="G10" s="265"/>
      <c r="H10" s="1703"/>
      <c r="I10" s="1803"/>
    </row>
    <row r="11" spans="1:11" ht="15" customHeight="1" thickBot="1" x14ac:dyDescent="0.25">
      <c r="A11" s="1815"/>
      <c r="B11" s="1791"/>
      <c r="C11" s="1332" t="str">
        <f>OF!C125</f>
        <v>Other (E, SE, W, NW), or no detectable uphill slope or input channel (flat).</v>
      </c>
      <c r="D11" s="171">
        <f>OF!D125</f>
        <v>0</v>
      </c>
      <c r="E11" s="259">
        <v>2</v>
      </c>
      <c r="F11" s="260">
        <f>D11*E11</f>
        <v>0</v>
      </c>
      <c r="G11" s="266"/>
      <c r="H11" s="1722"/>
      <c r="I11" s="1806"/>
    </row>
    <row r="12" spans="1:11" ht="21" customHeight="1" thickBot="1" x14ac:dyDescent="0.25">
      <c r="A12" s="1813" t="str">
        <f>OF!A126</f>
        <v>OF26</v>
      </c>
      <c r="B12" s="1816" t="str">
        <f>OF!B126</f>
        <v>Internal Flow Distance (Path Length)</v>
      </c>
      <c r="C12" s="229" t="str">
        <f>OF!C126</f>
        <v xml:space="preserve">The horizontal flow distance from the wetland's inlet to outlet is: </v>
      </c>
      <c r="D12" s="251"/>
      <c r="E12" s="251"/>
      <c r="F12" s="252"/>
      <c r="G12" s="253">
        <f>MAX(F13:F18)/MAX(E13:E18)</f>
        <v>0</v>
      </c>
      <c r="H12" s="1721" t="s">
        <v>1001</v>
      </c>
      <c r="I12" s="1802" t="s">
        <v>1092</v>
      </c>
      <c r="K12" s="56" t="s">
        <v>912</v>
      </c>
    </row>
    <row r="13" spans="1:11" ht="15" customHeight="1" x14ac:dyDescent="0.2">
      <c r="A13" s="1814"/>
      <c r="B13" s="1790"/>
      <c r="C13" s="1329" t="str">
        <f>OF!C127</f>
        <v>&lt;10 m.</v>
      </c>
      <c r="D13" s="134">
        <f>OF!D127</f>
        <v>0</v>
      </c>
      <c r="E13" s="254">
        <v>0</v>
      </c>
      <c r="F13" s="255">
        <f t="shared" ref="F13:F18" si="0">D13*E13</f>
        <v>0</v>
      </c>
      <c r="G13" s="271"/>
      <c r="H13" s="1703"/>
      <c r="I13" s="1803"/>
    </row>
    <row r="14" spans="1:11" ht="15" customHeight="1" x14ac:dyDescent="0.2">
      <c r="A14" s="1814"/>
      <c r="B14" s="1790"/>
      <c r="C14" s="1330" t="str">
        <f>OF!C128</f>
        <v>10 - 50 m.</v>
      </c>
      <c r="D14" s="122">
        <f>OF!D128</f>
        <v>0</v>
      </c>
      <c r="E14" s="254">
        <v>1</v>
      </c>
      <c r="F14" s="255">
        <f t="shared" si="0"/>
        <v>0</v>
      </c>
      <c r="G14" s="271"/>
      <c r="H14" s="1703"/>
      <c r="I14" s="1803"/>
    </row>
    <row r="15" spans="1:11" ht="15" customHeight="1" x14ac:dyDescent="0.2">
      <c r="A15" s="1814"/>
      <c r="B15" s="1790"/>
      <c r="C15" s="1330" t="str">
        <f>OF!C129</f>
        <v>50 - 100 m.</v>
      </c>
      <c r="D15" s="122">
        <f>OF!D129</f>
        <v>0</v>
      </c>
      <c r="E15" s="254">
        <v>2</v>
      </c>
      <c r="F15" s="255">
        <f t="shared" si="0"/>
        <v>0</v>
      </c>
      <c r="G15" s="271"/>
      <c r="H15" s="1703"/>
      <c r="I15" s="1803"/>
    </row>
    <row r="16" spans="1:11" ht="15" customHeight="1" x14ac:dyDescent="0.2">
      <c r="A16" s="1814"/>
      <c r="B16" s="1790"/>
      <c r="C16" s="1330" t="str">
        <f>OF!C130</f>
        <v>100 - 1000 m.</v>
      </c>
      <c r="D16" s="122">
        <f>OF!D130</f>
        <v>0</v>
      </c>
      <c r="E16" s="254">
        <v>3</v>
      </c>
      <c r="F16" s="255">
        <f t="shared" si="0"/>
        <v>0</v>
      </c>
      <c r="G16" s="271"/>
      <c r="H16" s="1703"/>
      <c r="I16" s="1803"/>
    </row>
    <row r="17" spans="1:9" ht="15" customHeight="1" x14ac:dyDescent="0.2">
      <c r="A17" s="1814"/>
      <c r="B17" s="1790"/>
      <c r="C17" s="1330" t="str">
        <f>OF!C131</f>
        <v>1- 2 km.</v>
      </c>
      <c r="D17" s="122">
        <f>OF!D131</f>
        <v>0</v>
      </c>
      <c r="E17" s="254">
        <v>4</v>
      </c>
      <c r="F17" s="255">
        <f t="shared" si="0"/>
        <v>0</v>
      </c>
      <c r="G17" s="271"/>
      <c r="H17" s="1703"/>
      <c r="I17" s="1803"/>
    </row>
    <row r="18" spans="1:9" ht="15" customHeight="1" thickBot="1" x14ac:dyDescent="0.25">
      <c r="A18" s="1814"/>
      <c r="B18" s="1790"/>
      <c r="C18" s="1331" t="str">
        <f>OF!C132</f>
        <v>&gt;2 km, or wetland lacks an inlet and outlet.</v>
      </c>
      <c r="D18" s="136">
        <f>OF!D132</f>
        <v>0</v>
      </c>
      <c r="E18" s="258">
        <v>6</v>
      </c>
      <c r="F18" s="269">
        <f t="shared" si="0"/>
        <v>0</v>
      </c>
      <c r="G18" s="257"/>
      <c r="H18" s="1722"/>
      <c r="I18" s="1804"/>
    </row>
    <row r="19" spans="1:9" ht="45" customHeight="1" thickBot="1" x14ac:dyDescent="0.25">
      <c r="A19" s="336" t="str">
        <f>OF!A133</f>
        <v>OF27</v>
      </c>
      <c r="B19" s="60" t="str">
        <f>OF!B133</f>
        <v>Growing Degree Days</v>
      </c>
      <c r="C19" s="336" t="str">
        <f>OF!C133</f>
        <v>In Google Earth, open the KMZ file that accompanies this calculator, called NB-PEI_GrowingDegreeDays. Place your cursor over the AA and left-click. From the pop-up, enter the GRIDCODE in the next column.</v>
      </c>
      <c r="D19" s="140">
        <f>OF!D133</f>
        <v>0</v>
      </c>
      <c r="E19" s="1395"/>
      <c r="F19" s="1396"/>
      <c r="G19" s="400" t="str">
        <f>IF((GrowD&lt;1),"",(GrowD-1305)/1328)</f>
        <v/>
      </c>
      <c r="H19" s="436" t="s">
        <v>1491</v>
      </c>
      <c r="I19" s="1122" t="s">
        <v>1660</v>
      </c>
    </row>
    <row r="20" spans="1:9" ht="60" customHeight="1" thickBot="1" x14ac:dyDescent="0.25">
      <c r="A20" s="1814" t="str">
        <f>F!A69</f>
        <v>F12</v>
      </c>
      <c r="B20" s="1790" t="str">
        <f>F!B69</f>
        <v xml:space="preserve">Ground Irregularity </v>
      </c>
      <c r="C20" s="339" t="str">
        <f>F!C69</f>
        <v>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v>
      </c>
      <c r="D20" s="267"/>
      <c r="E20" s="267"/>
      <c r="F20" s="273"/>
      <c r="G20" s="1394">
        <f>MAX(F21:F23)/MAX(E21:E23)</f>
        <v>0</v>
      </c>
      <c r="H20" s="1713" t="s">
        <v>1791</v>
      </c>
      <c r="I20" s="1802" t="s">
        <v>2360</v>
      </c>
    </row>
    <row r="21" spans="1:9" ht="27" customHeight="1" x14ac:dyDescent="0.2">
      <c r="A21" s="1814"/>
      <c r="B21" s="1790"/>
      <c r="C21" s="69" t="str">
        <f>F!C70</f>
        <v>Few or none (minimal microtopography; &lt;1% of the land has such features, or entire AA is always water-covered).</v>
      </c>
      <c r="D21" s="134">
        <f>F!D70</f>
        <v>0</v>
      </c>
      <c r="E21" s="254">
        <v>1</v>
      </c>
      <c r="F21" s="269">
        <f>D21*E21</f>
        <v>0</v>
      </c>
      <c r="G21" s="276"/>
      <c r="H21" s="1714"/>
      <c r="I21" s="1803"/>
    </row>
    <row r="22" spans="1:9" ht="15" customHeight="1" x14ac:dyDescent="0.2">
      <c r="A22" s="1814"/>
      <c r="B22" s="1790"/>
      <c r="C22" s="37" t="str">
        <f>F!C71</f>
        <v>Intermediate.</v>
      </c>
      <c r="D22" s="122">
        <f>F!D71</f>
        <v>0</v>
      </c>
      <c r="E22" s="254">
        <v>2</v>
      </c>
      <c r="F22" s="269">
        <f>D22*E22</f>
        <v>0</v>
      </c>
      <c r="G22" s="264"/>
      <c r="H22" s="1714"/>
      <c r="I22" s="1803"/>
    </row>
    <row r="23" spans="1:9" ht="15" customHeight="1" thickBot="1" x14ac:dyDescent="0.25">
      <c r="A23" s="1815"/>
      <c r="B23" s="1791"/>
      <c r="C23" s="233" t="str">
        <f>F!C72</f>
        <v>Several (extensive micro-topography).</v>
      </c>
      <c r="D23" s="123">
        <f>F!D72</f>
        <v>0</v>
      </c>
      <c r="E23" s="259">
        <v>3</v>
      </c>
      <c r="F23" s="260">
        <f>D23*E23</f>
        <v>0</v>
      </c>
      <c r="G23" s="266"/>
      <c r="H23" s="1715"/>
      <c r="I23" s="1804"/>
    </row>
    <row r="24" spans="1:9" ht="45" customHeight="1" thickBot="1" x14ac:dyDescent="0.25">
      <c r="A24" s="1823" t="str">
        <f>F!A77</f>
        <v>F14</v>
      </c>
      <c r="B24" s="1824" t="str">
        <f>F!B77</f>
        <v>Soil Texture</v>
      </c>
      <c r="C24" s="237" t="str">
        <f>F!C77</f>
        <v xml:space="preserve">In parts of the AA that lack persistent water, the texture of soil in the uppermost layer is mostly:  [To determine this, use a trowel to check in at least 3 widely spaced locations, and use the soil texture key (in Appendix A of the Manual).] </v>
      </c>
      <c r="D24" s="251"/>
      <c r="E24" s="267"/>
      <c r="F24" s="273"/>
      <c r="G24" s="268">
        <f>MAX(F25:F29)/MAX(E25:E29)</f>
        <v>0</v>
      </c>
      <c r="H24" s="1714" t="s">
        <v>1443</v>
      </c>
      <c r="I24" s="1805" t="s">
        <v>584</v>
      </c>
    </row>
    <row r="25" spans="1:9" ht="27" customHeight="1" x14ac:dyDescent="0.2">
      <c r="A25" s="1823"/>
      <c r="B25" s="1824"/>
      <c r="C25" s="238" t="str">
        <f>F!C78</f>
        <v>Loamy: soils that may contain a little fine grit and do not make a "ribbon" longer than 2 cm when moistened, rolled, squeezed, and extended between thumb and forefinger.</v>
      </c>
      <c r="D25" s="137">
        <f>F!D78</f>
        <v>0</v>
      </c>
      <c r="E25" s="254">
        <v>3</v>
      </c>
      <c r="F25" s="255">
        <f>D25*E25</f>
        <v>0</v>
      </c>
      <c r="G25" s="274"/>
      <c r="H25" s="1714"/>
      <c r="I25" s="1803"/>
    </row>
    <row r="26" spans="1:9" ht="27" customHeight="1" x14ac:dyDescent="0.2">
      <c r="A26" s="1823"/>
      <c r="B26" s="1824"/>
      <c r="C26" s="239" t="str">
        <f>F!C79</f>
        <v>Fines: includes silt, clay, silt, soils that make a ribbon longer than 2 cm when moistened, rolled, squeezed, and extended between thumb and forefinger.</v>
      </c>
      <c r="D26" s="138">
        <f>F!D79</f>
        <v>0</v>
      </c>
      <c r="E26" s="254">
        <v>1</v>
      </c>
      <c r="F26" s="255">
        <f>D26*E26</f>
        <v>0</v>
      </c>
      <c r="G26" s="271"/>
      <c r="H26" s="1714"/>
      <c r="I26" s="1803"/>
    </row>
    <row r="27" spans="1:9" ht="18" customHeight="1" x14ac:dyDescent="0.2">
      <c r="A27" s="1823"/>
      <c r="B27" s="1824"/>
      <c r="C27" s="239" t="str">
        <f>F!C80</f>
        <v>Deep Peat, to 40 cm depth or greater.</v>
      </c>
      <c r="D27" s="138">
        <f>F!D80</f>
        <v>0</v>
      </c>
      <c r="E27" s="254">
        <v>5</v>
      </c>
      <c r="F27" s="255">
        <f>D27*E27</f>
        <v>0</v>
      </c>
      <c r="G27" s="271"/>
      <c r="H27" s="1714"/>
      <c r="I27" s="1803"/>
    </row>
    <row r="28" spans="1:9" ht="18" customHeight="1" x14ac:dyDescent="0.2">
      <c r="A28" s="1823"/>
      <c r="B28" s="1824"/>
      <c r="C28" s="239" t="str">
        <f>F!C81</f>
        <v xml:space="preserve">Shallow Peat or organic &lt;40 cm deep. </v>
      </c>
      <c r="D28" s="138">
        <f>F!D81</f>
        <v>0</v>
      </c>
      <c r="E28" s="254">
        <v>4</v>
      </c>
      <c r="F28" s="255">
        <f>D28*E28</f>
        <v>0</v>
      </c>
      <c r="G28" s="271"/>
      <c r="H28" s="1714"/>
      <c r="I28" s="1803"/>
    </row>
    <row r="29" spans="1:9" ht="27" customHeight="1" thickBot="1" x14ac:dyDescent="0.25">
      <c r="A29" s="1823"/>
      <c r="B29" s="1824"/>
      <c r="C29" s="888" t="str">
        <f>F!C82</f>
        <v>Coarse: includes sand, loamy sand, gravel, cobble, soils that do not make a ribbon when moistened, rolled, squeezed, and extended between thumb and forefinger.</v>
      </c>
      <c r="D29" s="143">
        <f>F!D82</f>
        <v>0</v>
      </c>
      <c r="E29" s="258">
        <v>2</v>
      </c>
      <c r="F29" s="269">
        <f>D29*E29</f>
        <v>0</v>
      </c>
      <c r="G29" s="257"/>
      <c r="H29" s="1714"/>
      <c r="I29" s="1806"/>
    </row>
    <row r="30" spans="1:9" ht="30" customHeight="1" thickBot="1" x14ac:dyDescent="0.25">
      <c r="A30" s="1813" t="str">
        <f>F!A140</f>
        <v>F27</v>
      </c>
      <c r="B30" s="1816" t="str">
        <f>F!B140</f>
        <v>% of AA that is Flooded Only Seasonally</v>
      </c>
      <c r="C30" s="226" t="str">
        <f>F!C140</f>
        <v>The percentage of the AA's area that is between the annual high water and the annual low water (surface water) is:</v>
      </c>
      <c r="D30" s="251"/>
      <c r="E30" s="251"/>
      <c r="F30" s="272"/>
      <c r="G30" s="253">
        <f>IF((AllSat1&gt;0),"",MAX(F31:F35)/MAX(E31:E35))</f>
        <v>0</v>
      </c>
      <c r="H30" s="1713" t="s">
        <v>1794</v>
      </c>
      <c r="I30" s="1802" t="s">
        <v>265</v>
      </c>
    </row>
    <row r="31" spans="1:9" ht="15" customHeight="1" x14ac:dyDescent="0.2">
      <c r="A31" s="1814"/>
      <c r="B31" s="1790"/>
      <c r="C31" s="228" t="str">
        <f>F!C141</f>
        <v>None, or &lt;0.01 hectare and &lt;1% of the AA.  SKIP to F29.</v>
      </c>
      <c r="D31" s="135">
        <f>F!D141</f>
        <v>0</v>
      </c>
      <c r="E31" s="254">
        <v>0</v>
      </c>
      <c r="F31" s="269">
        <f>D31*E31</f>
        <v>0</v>
      </c>
      <c r="G31" s="256"/>
      <c r="H31" s="1714"/>
      <c r="I31" s="1803"/>
    </row>
    <row r="32" spans="1:9" ht="15" customHeight="1" x14ac:dyDescent="0.2">
      <c r="A32" s="1814"/>
      <c r="B32" s="1790"/>
      <c r="C32" s="81" t="str">
        <f>F!C142</f>
        <v>1-20% of the AA, or &lt;1% but &gt;0.01 ha.</v>
      </c>
      <c r="D32" s="136">
        <f>F!D142</f>
        <v>0</v>
      </c>
      <c r="E32" s="254">
        <v>1</v>
      </c>
      <c r="F32" s="269">
        <f>D32*E32</f>
        <v>0</v>
      </c>
      <c r="G32" s="257"/>
      <c r="H32" s="1714"/>
      <c r="I32" s="1803"/>
    </row>
    <row r="33" spans="1:9" ht="15" customHeight="1" x14ac:dyDescent="0.2">
      <c r="A33" s="1814"/>
      <c r="B33" s="1790"/>
      <c r="C33" s="81" t="str">
        <f>F!C143</f>
        <v>20-50% of the AA.</v>
      </c>
      <c r="D33" s="136">
        <f>F!D143</f>
        <v>0</v>
      </c>
      <c r="E33" s="254">
        <v>2</v>
      </c>
      <c r="F33" s="269">
        <f>D33*E33</f>
        <v>0</v>
      </c>
      <c r="G33" s="257"/>
      <c r="H33" s="1714"/>
      <c r="I33" s="1803"/>
    </row>
    <row r="34" spans="1:9" ht="15" customHeight="1" x14ac:dyDescent="0.2">
      <c r="A34" s="1814"/>
      <c r="B34" s="1790"/>
      <c r="C34" s="81" t="str">
        <f>F!C144</f>
        <v>50-95% of the AA.</v>
      </c>
      <c r="D34" s="136">
        <f>F!D144</f>
        <v>0</v>
      </c>
      <c r="E34" s="254">
        <v>3</v>
      </c>
      <c r="F34" s="269">
        <f>D34*E34</f>
        <v>0</v>
      </c>
      <c r="G34" s="257"/>
      <c r="H34" s="1714"/>
      <c r="I34" s="1803"/>
    </row>
    <row r="35" spans="1:9" ht="15" customHeight="1" thickBot="1" x14ac:dyDescent="0.25">
      <c r="A35" s="1815"/>
      <c r="B35" s="1791"/>
      <c r="C35" s="233" t="str">
        <f>F!C145</f>
        <v xml:space="preserve">&gt;95% of the AA. </v>
      </c>
      <c r="D35" s="123">
        <f>F!D145</f>
        <v>0</v>
      </c>
      <c r="E35" s="259">
        <v>4</v>
      </c>
      <c r="F35" s="260">
        <f>D35*E35</f>
        <v>0</v>
      </c>
      <c r="G35" s="261"/>
      <c r="H35" s="1715"/>
      <c r="I35" s="1804"/>
    </row>
    <row r="36" spans="1:9" ht="30" customHeight="1" thickBot="1" x14ac:dyDescent="0.25">
      <c r="A36" s="1813" t="str">
        <f>F!A146</f>
        <v>F28</v>
      </c>
      <c r="B36" s="1816" t="str">
        <f>F!B146</f>
        <v>Annual Water Fluctuation Range</v>
      </c>
      <c r="C36" s="226" t="str">
        <f>F!C146</f>
        <v>The annual fluctuation in surface water level within most of the parts of the AA that contain surface water at least temporarily is:</v>
      </c>
      <c r="D36" s="251"/>
      <c r="E36" s="251"/>
      <c r="F36" s="272"/>
      <c r="G36" s="262">
        <f>IF((AllSat1=1),"",IF((NoSeasonal=1),"",MAX(F37:F41)/MAX(E37:E41)))</f>
        <v>0</v>
      </c>
      <c r="H36" s="1713" t="s">
        <v>1173</v>
      </c>
      <c r="I36" s="1802" t="s">
        <v>267</v>
      </c>
    </row>
    <row r="37" spans="1:9" ht="15" customHeight="1" x14ac:dyDescent="0.2">
      <c r="A37" s="1814"/>
      <c r="B37" s="1790"/>
      <c r="C37" s="69" t="str">
        <f>F!C147</f>
        <v>&lt;10 cm change (stable or nearly so).</v>
      </c>
      <c r="D37" s="134">
        <f>F!D147</f>
        <v>0</v>
      </c>
      <c r="E37" s="254">
        <v>0</v>
      </c>
      <c r="F37" s="269">
        <f>D37*E37</f>
        <v>0</v>
      </c>
      <c r="G37" s="263"/>
      <c r="H37" s="1714"/>
      <c r="I37" s="1803"/>
    </row>
    <row r="38" spans="1:9" ht="15" customHeight="1" x14ac:dyDescent="0.2">
      <c r="A38" s="1814"/>
      <c r="B38" s="1790"/>
      <c r="C38" s="37" t="str">
        <f>F!C148</f>
        <v>10 cm - 50 cm change.</v>
      </c>
      <c r="D38" s="122">
        <f>F!D148</f>
        <v>0</v>
      </c>
      <c r="E38" s="254">
        <v>2</v>
      </c>
      <c r="F38" s="269">
        <f>D38*E38</f>
        <v>0</v>
      </c>
      <c r="G38" s="265"/>
      <c r="H38" s="1714"/>
      <c r="I38" s="1803"/>
    </row>
    <row r="39" spans="1:9" ht="15" customHeight="1" x14ac:dyDescent="0.2">
      <c r="A39" s="1814"/>
      <c r="B39" s="1790"/>
      <c r="C39" s="37" t="str">
        <f>F!C149</f>
        <v>0.5 - 1 m change.</v>
      </c>
      <c r="D39" s="122">
        <f>F!D149</f>
        <v>0</v>
      </c>
      <c r="E39" s="254">
        <v>3</v>
      </c>
      <c r="F39" s="269">
        <f>D39*E39</f>
        <v>0</v>
      </c>
      <c r="G39" s="265"/>
      <c r="H39" s="1714"/>
      <c r="I39" s="1803"/>
    </row>
    <row r="40" spans="1:9" ht="15" customHeight="1" x14ac:dyDescent="0.2">
      <c r="A40" s="1814"/>
      <c r="B40" s="1790"/>
      <c r="C40" s="37" t="str">
        <f>F!C150</f>
        <v>1-2 m change.</v>
      </c>
      <c r="D40" s="122">
        <f>F!D150</f>
        <v>0</v>
      </c>
      <c r="E40" s="258">
        <v>4</v>
      </c>
      <c r="F40" s="269">
        <f>D40*E40</f>
        <v>0</v>
      </c>
      <c r="G40" s="265"/>
      <c r="H40" s="1714"/>
      <c r="I40" s="1806"/>
    </row>
    <row r="41" spans="1:9" ht="15" customHeight="1" thickBot="1" x14ac:dyDescent="0.25">
      <c r="A41" s="1815"/>
      <c r="B41" s="1791"/>
      <c r="C41" s="37" t="str">
        <f>F!C151</f>
        <v>&gt;2 m change.</v>
      </c>
      <c r="D41" s="122">
        <f>F!D151</f>
        <v>0</v>
      </c>
      <c r="E41" s="259">
        <v>5</v>
      </c>
      <c r="F41" s="260">
        <f>D41*E41</f>
        <v>0</v>
      </c>
      <c r="G41" s="266"/>
      <c r="H41" s="1715"/>
      <c r="I41" s="1804"/>
    </row>
    <row r="42" spans="1:9" ht="45" customHeight="1" thickBot="1" x14ac:dyDescent="0.25">
      <c r="A42" s="1836" t="str">
        <f>F!A163</f>
        <v>F31</v>
      </c>
      <c r="B42" s="1816" t="str">
        <f>F!B163</f>
        <v>% of Water That Is Ponded (not Flowing)</v>
      </c>
      <c r="C42" s="226" t="str">
        <f>F!C163</f>
        <v>During most times when surface water is present, the percentage that is (1) ponded (stagnant, or flows so slowly that fine sediment is not held in suspension) AND (2) is likely to be deeper than 0.5 m in some places, is:</v>
      </c>
      <c r="D42" s="251"/>
      <c r="E42" s="251"/>
      <c r="F42" s="252"/>
      <c r="G42" s="253">
        <f>IF((AllSat1=1),"",MAX(F43:F47)/MAX(E43:E47))</f>
        <v>0</v>
      </c>
      <c r="H42" s="1713" t="s">
        <v>1876</v>
      </c>
      <c r="I42" s="1802" t="s">
        <v>266</v>
      </c>
    </row>
    <row r="43" spans="1:9" ht="15" customHeight="1" x14ac:dyDescent="0.2">
      <c r="A43" s="1814"/>
      <c r="B43" s="1790"/>
      <c r="C43" s="69" t="str">
        <f>F!C164</f>
        <v>&lt;5% of the water, or it occupies &lt;100 sq.m cumulatively. Nearly all the surface water is flowing. SKIP to F34.</v>
      </c>
      <c r="D43" s="674">
        <f>F!D164</f>
        <v>0</v>
      </c>
      <c r="E43" s="254">
        <v>0</v>
      </c>
      <c r="F43" s="269">
        <f>D43*E43</f>
        <v>0</v>
      </c>
      <c r="G43" s="257"/>
      <c r="H43" s="1714"/>
      <c r="I43" s="1803"/>
    </row>
    <row r="44" spans="1:9" ht="15" customHeight="1" x14ac:dyDescent="0.2">
      <c r="A44" s="1814"/>
      <c r="B44" s="1790"/>
      <c r="C44" s="37" t="str">
        <f>F!C165</f>
        <v>5-30% of the water.</v>
      </c>
      <c r="D44" s="675">
        <f>F!D165</f>
        <v>0</v>
      </c>
      <c r="E44" s="254">
        <v>2</v>
      </c>
      <c r="F44" s="269">
        <f>D44*E44</f>
        <v>0</v>
      </c>
      <c r="G44" s="257"/>
      <c r="H44" s="1714"/>
      <c r="I44" s="1803"/>
    </row>
    <row r="45" spans="1:9" ht="15" customHeight="1" x14ac:dyDescent="0.2">
      <c r="A45" s="1814"/>
      <c r="B45" s="1790"/>
      <c r="C45" s="37" t="str">
        <f>F!C166</f>
        <v>30-70% of the water.</v>
      </c>
      <c r="D45" s="675">
        <f>F!D166</f>
        <v>0</v>
      </c>
      <c r="E45" s="254">
        <v>3</v>
      </c>
      <c r="F45" s="269">
        <f>D45*E45</f>
        <v>0</v>
      </c>
      <c r="G45" s="257"/>
      <c r="H45" s="1714"/>
      <c r="I45" s="1803"/>
    </row>
    <row r="46" spans="1:9" ht="15" customHeight="1" x14ac:dyDescent="0.2">
      <c r="A46" s="1814"/>
      <c r="B46" s="1790"/>
      <c r="C46" s="37" t="str">
        <f>F!C167</f>
        <v>70-95% of the water.</v>
      </c>
      <c r="D46" s="675">
        <f>F!D167</f>
        <v>0</v>
      </c>
      <c r="E46" s="254">
        <v>4</v>
      </c>
      <c r="F46" s="269">
        <f>D46*E46</f>
        <v>0</v>
      </c>
      <c r="G46" s="257"/>
      <c r="H46" s="1714"/>
      <c r="I46" s="1803"/>
    </row>
    <row r="47" spans="1:9" ht="15" customHeight="1" thickBot="1" x14ac:dyDescent="0.25">
      <c r="A47" s="1815"/>
      <c r="B47" s="1791"/>
      <c r="C47" s="233" t="str">
        <f>F!C168</f>
        <v>&gt;95% of the water.</v>
      </c>
      <c r="D47" s="691">
        <f>F!D168</f>
        <v>0</v>
      </c>
      <c r="E47" s="259">
        <v>5</v>
      </c>
      <c r="F47" s="260">
        <f>D47*E47</f>
        <v>0</v>
      </c>
      <c r="G47" s="261"/>
      <c r="H47" s="1715"/>
      <c r="I47" s="1804"/>
    </row>
    <row r="48" spans="1:9" ht="69" customHeight="1" thickBot="1" x14ac:dyDescent="0.25">
      <c r="A48" s="1813" t="str">
        <f>F!A206</f>
        <v>F42</v>
      </c>
      <c r="B48" s="1816" t="str">
        <f>F!B206</f>
        <v>Channel Connection &amp; Outflow Duration</v>
      </c>
      <c r="C48" s="226" t="str">
        <f>F!C206</f>
        <v>The most persistent surface water connection (outlet channel or pipe, ditch, or overbank water exchange) between the AA and a downslope stream network is: [Note: If the AA represents only part of a wetland, answer this according to whichever is the least permanent surface connection: the one between the AA and the rest of the wetland, or the surface connection between the wetland and the downslope stream network.]</v>
      </c>
      <c r="D48" s="251"/>
      <c r="E48" s="251"/>
      <c r="F48" s="272"/>
      <c r="G48" s="262">
        <f>MAX(F49:F53)/MAX(E49:E53)</f>
        <v>0</v>
      </c>
      <c r="H48" s="1713" t="s">
        <v>1793</v>
      </c>
      <c r="I48" s="1805" t="s">
        <v>268</v>
      </c>
    </row>
    <row r="49" spans="1:9" ht="18" customHeight="1" x14ac:dyDescent="0.2">
      <c r="A49" s="1814"/>
      <c r="B49" s="1790"/>
      <c r="C49" s="69" t="str">
        <f>F!C207</f>
        <v>Persistent (surface water flows out for &gt;9 months/year).</v>
      </c>
      <c r="D49" s="134">
        <f>F!D207</f>
        <v>0</v>
      </c>
      <c r="E49" s="254">
        <v>1</v>
      </c>
      <c r="F49" s="269">
        <f>D49*E49</f>
        <v>0</v>
      </c>
      <c r="G49" s="263"/>
      <c r="H49" s="1714"/>
      <c r="I49" s="1803"/>
    </row>
    <row r="50" spans="1:9" ht="15" customHeight="1" x14ac:dyDescent="0.2">
      <c r="A50" s="1814"/>
      <c r="B50" s="1790"/>
      <c r="C50" s="37" t="str">
        <f>F!C208</f>
        <v>Seasonal (surface water flows out for 14 days to 9 months/year, not necessarily consecutive).</v>
      </c>
      <c r="D50" s="122">
        <f>F!D208</f>
        <v>0</v>
      </c>
      <c r="E50" s="254">
        <v>2</v>
      </c>
      <c r="F50" s="269">
        <f>D50*E50</f>
        <v>0</v>
      </c>
      <c r="G50" s="265"/>
      <c r="H50" s="1714"/>
      <c r="I50" s="1803"/>
    </row>
    <row r="51" spans="1:9" ht="15" customHeight="1" x14ac:dyDescent="0.2">
      <c r="A51" s="1814"/>
      <c r="B51" s="1790"/>
      <c r="C51" s="37" t="str">
        <f>F!C209</f>
        <v>Temporary (surface water flows out for &lt;14 days, not necessarily consecutive).</v>
      </c>
      <c r="D51" s="122">
        <f>F!D209</f>
        <v>0</v>
      </c>
      <c r="E51" s="254">
        <v>3</v>
      </c>
      <c r="F51" s="269">
        <f>D51*E51</f>
        <v>0</v>
      </c>
      <c r="G51" s="265"/>
      <c r="H51" s="1714"/>
      <c r="I51" s="1803"/>
    </row>
    <row r="52" spans="1:9" ht="27" customHeight="1" x14ac:dyDescent="0.2">
      <c r="A52" s="1814"/>
      <c r="B52" s="1790"/>
      <c r="C52" s="235" t="str">
        <f>F!C210</f>
        <v>None -- but maps show a stream network downslope from the AA and within a distance that is less than the AA's length. SKIP to F47 (pH Measurement).</v>
      </c>
      <c r="D52" s="172">
        <f>F!D210</f>
        <v>0</v>
      </c>
      <c r="E52" s="275">
        <v>6</v>
      </c>
      <c r="F52" s="269">
        <f>D52*E52</f>
        <v>0</v>
      </c>
      <c r="G52" s="265"/>
      <c r="H52" s="1714"/>
      <c r="I52" s="1803"/>
    </row>
    <row r="53" spans="1:9" ht="27" customHeight="1" thickBot="1" x14ac:dyDescent="0.25">
      <c r="A53" s="1815"/>
      <c r="B53" s="1791"/>
      <c r="C53" s="236" t="str">
        <f>F!C211</f>
        <v>No surface water flows out of the wetland except possibly during extreme events (&lt;once per 10 years). Or, water flows only into a wetland, ditch, or lake that lacks an outlet. SKIP to F47 (pH Measurement).</v>
      </c>
      <c r="D53" s="141">
        <f>F!D211</f>
        <v>0</v>
      </c>
      <c r="E53" s="259">
        <v>6</v>
      </c>
      <c r="F53" s="260">
        <f>D53*E53</f>
        <v>0</v>
      </c>
      <c r="G53" s="266"/>
      <c r="H53" s="1715"/>
      <c r="I53" s="1806"/>
    </row>
    <row r="54" spans="1:9" ht="30" customHeight="1" thickBot="1" x14ac:dyDescent="0.25">
      <c r="A54" s="1817" t="str">
        <f>F!A212</f>
        <v>F43</v>
      </c>
      <c r="B54" s="1790" t="str">
        <f>F!B212</f>
        <v xml:space="preserve">Outflow Confinement </v>
      </c>
      <c r="C54" s="226" t="str">
        <f>F!C212</f>
        <v>During major runoff events, in the places where surface water exits the AA or connected waters nearby, the water:</v>
      </c>
      <c r="D54" s="251"/>
      <c r="E54" s="267"/>
      <c r="F54" s="273"/>
      <c r="G54" s="268">
        <f>IF((OutNone + OutNone1&gt;0),"",IF((D57=1),0,IF((D55=1),1,0.5)))</f>
        <v>0.5</v>
      </c>
      <c r="H54" s="1714" t="s">
        <v>1802</v>
      </c>
      <c r="I54" s="1802" t="s">
        <v>269</v>
      </c>
    </row>
    <row r="55" spans="1:9" ht="42" customHeight="1" x14ac:dyDescent="0.2">
      <c r="A55" s="1817"/>
      <c r="B55" s="1790"/>
      <c r="C55" s="228" t="str">
        <f>F!C213</f>
        <v>Mostly passes through a pipe, culvert, narrowly breached dike, berm, beaver dam, or other partial obstruction (other than natural topography) that does not appear to drain the wetland artificially during most of the growing season.</v>
      </c>
      <c r="D55" s="135">
        <f>F!D213</f>
        <v>0</v>
      </c>
      <c r="E55" s="254">
        <v>3</v>
      </c>
      <c r="F55" s="255">
        <f>D55*E55</f>
        <v>0</v>
      </c>
      <c r="G55" s="274"/>
      <c r="H55" s="1714"/>
      <c r="I55" s="1803"/>
    </row>
    <row r="56" spans="1:9" ht="30" customHeight="1" x14ac:dyDescent="0.2">
      <c r="A56" s="1817"/>
      <c r="B56" s="1790"/>
      <c r="C56" s="81" t="str">
        <f>F!C214</f>
        <v>Leaves through natural exits (channels or diffuse outflow), not mainly through artificial or temporary features.</v>
      </c>
      <c r="D56" s="136">
        <f>F!D214</f>
        <v>0</v>
      </c>
      <c r="E56" s="254">
        <v>2</v>
      </c>
      <c r="F56" s="255">
        <f>D56*E56</f>
        <v>0</v>
      </c>
      <c r="G56" s="256"/>
      <c r="H56" s="1714"/>
      <c r="I56" s="1803"/>
    </row>
    <row r="57" spans="1:9" ht="40.5" customHeight="1" thickBot="1" x14ac:dyDescent="0.25">
      <c r="A57" s="1817"/>
      <c r="B57" s="1790"/>
      <c r="C57" s="81" t="str">
        <f>F!C215</f>
        <v>Is exported more quickly than usual due to ditches or pipes within the AA or connected to its outlet, or within 10 m of the AA's edge, which drain the wetland artificially, or water is pumped out of the AA.</v>
      </c>
      <c r="D57" s="136">
        <f>F!D215</f>
        <v>0</v>
      </c>
      <c r="E57" s="258">
        <v>0</v>
      </c>
      <c r="F57" s="269">
        <f>D57*E57</f>
        <v>0</v>
      </c>
      <c r="G57" s="257"/>
      <c r="H57" s="1714"/>
      <c r="I57" s="1804"/>
    </row>
    <row r="58" spans="1:9" ht="30" customHeight="1" thickBot="1" x14ac:dyDescent="0.25">
      <c r="A58" s="1813" t="str">
        <f>F!A218</f>
        <v>F46</v>
      </c>
      <c r="B58" s="1816" t="str">
        <f>F!B218</f>
        <v>Throughflow Resistance</v>
      </c>
      <c r="C58" s="226" t="str">
        <f>F!C218</f>
        <v>During its travel through the AA at the time of peak annual flow, water arriving in channels: [select only the ONE encountered by most of the incoming water].</v>
      </c>
      <c r="D58" s="251"/>
      <c r="E58" s="251"/>
      <c r="F58" s="270"/>
      <c r="G58" s="262">
        <f>IF(AND(Inflows=0,OutNone=1,OutNone1=1),"", MAX(F59:F63)/MAX(E59:E63))</f>
        <v>0</v>
      </c>
      <c r="H58" s="1713" t="s">
        <v>1792</v>
      </c>
      <c r="I58" s="1805" t="s">
        <v>270</v>
      </c>
    </row>
    <row r="59" spans="1:9" ht="42" customHeight="1" x14ac:dyDescent="0.2">
      <c r="A59" s="1814"/>
      <c r="B59" s="1790"/>
      <c r="C59" s="69" t="str">
        <f>F!C219</f>
        <v>Does not bump into many plant stems as it travels through the AA. Nearly all the water continues to travel in unvegetated (often incised) channels that have minimal contact with wetland vegetation, or through a zone of open water such as an instream pond or lake.</v>
      </c>
      <c r="D59" s="134">
        <f>F!D219</f>
        <v>0</v>
      </c>
      <c r="E59" s="254">
        <v>0</v>
      </c>
      <c r="F59" s="255">
        <f>D59*E59</f>
        <v>0</v>
      </c>
      <c r="G59" s="276"/>
      <c r="H59" s="1714"/>
      <c r="I59" s="1803"/>
    </row>
    <row r="60" spans="1:9" ht="14.45" customHeight="1" x14ac:dyDescent="0.2">
      <c r="A60" s="1814"/>
      <c r="B60" s="1790"/>
      <c r="C60" s="37" t="str">
        <f>F!C220</f>
        <v>Bumps into herbaceous vegetation but mostly remains in fairly straight channels.</v>
      </c>
      <c r="D60" s="122">
        <f>F!D220</f>
        <v>0</v>
      </c>
      <c r="E60" s="254">
        <v>3</v>
      </c>
      <c r="F60" s="255">
        <f>D60*E60</f>
        <v>0</v>
      </c>
      <c r="G60" s="264"/>
      <c r="H60" s="1714"/>
      <c r="I60" s="1803"/>
    </row>
    <row r="61" spans="1:9" ht="27" customHeight="1" x14ac:dyDescent="0.2">
      <c r="A61" s="1814"/>
      <c r="B61" s="1790"/>
      <c r="C61" s="37" t="str">
        <f>F!C221</f>
        <v>Bumps into herbaceous vegetation and mostly spreads throughout, or is in widely meandering, multi-branched, or braided channels.</v>
      </c>
      <c r="D61" s="122">
        <f>F!D221</f>
        <v>0</v>
      </c>
      <c r="E61" s="254">
        <v>4</v>
      </c>
      <c r="F61" s="255">
        <f>D61*E61</f>
        <v>0</v>
      </c>
      <c r="G61" s="264"/>
      <c r="H61" s="1714"/>
      <c r="I61" s="1803"/>
    </row>
    <row r="62" spans="1:9" ht="16.899999999999999" customHeight="1" x14ac:dyDescent="0.2">
      <c r="A62" s="1814"/>
      <c r="B62" s="1790"/>
      <c r="C62" s="37" t="str">
        <f>F!C222</f>
        <v>Bumps into tree trunks and/or shrub stems but mostly remains in fairly straight channels.</v>
      </c>
      <c r="D62" s="122">
        <f>F!D222</f>
        <v>0</v>
      </c>
      <c r="E62" s="254">
        <v>6</v>
      </c>
      <c r="F62" s="255">
        <f>D62*E62</f>
        <v>0</v>
      </c>
      <c r="G62" s="264"/>
      <c r="H62" s="1714"/>
      <c r="I62" s="1803"/>
    </row>
    <row r="63" spans="1:9" ht="27" customHeight="1" thickBot="1" x14ac:dyDescent="0.25">
      <c r="A63" s="1815"/>
      <c r="B63" s="1791"/>
      <c r="C63" s="233" t="str">
        <f>F!C223</f>
        <v>Bumps into tree trunks and/or shrub stems and follows a fairly indirect path from entrance to exit (meandering, multi-branched, or braided).</v>
      </c>
      <c r="D63" s="123">
        <f>F!D223</f>
        <v>0</v>
      </c>
      <c r="E63" s="259">
        <v>8</v>
      </c>
      <c r="F63" s="260">
        <f>D63*E63</f>
        <v>0</v>
      </c>
      <c r="G63" s="266"/>
      <c r="H63" s="1715"/>
      <c r="I63" s="1806"/>
    </row>
    <row r="64" spans="1:9" ht="21" customHeight="1" thickBot="1" x14ac:dyDescent="0.25">
      <c r="A64" s="1825" t="str">
        <f>F!A237</f>
        <v>F50</v>
      </c>
      <c r="B64" s="1825" t="str">
        <f>F!B237</f>
        <v>Groundwater Strength of Evidence</v>
      </c>
      <c r="C64" s="237" t="str">
        <f>F!C237</f>
        <v>Select first applicable choice:</v>
      </c>
      <c r="D64" s="251"/>
      <c r="E64" s="251"/>
      <c r="F64" s="252"/>
      <c r="G64" s="253">
        <f>IF((D67=1),"",MAX(F65:F67)/MAX(E65:E67))</f>
        <v>0</v>
      </c>
      <c r="H64" s="1721" t="s">
        <v>2339</v>
      </c>
      <c r="I64" s="1802" t="s">
        <v>585</v>
      </c>
    </row>
    <row r="65" spans="1:9" ht="42" customHeight="1" x14ac:dyDescent="0.2">
      <c r="A65" s="1824"/>
      <c r="B65" s="1824"/>
      <c r="C65" s="238"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65" s="137">
        <f>F!D238</f>
        <v>0</v>
      </c>
      <c r="E65" s="254">
        <v>1</v>
      </c>
      <c r="F65" s="255">
        <f>D65*E65</f>
        <v>0</v>
      </c>
      <c r="G65" s="274"/>
      <c r="H65" s="1703"/>
      <c r="I65" s="1803"/>
    </row>
    <row r="66" spans="1:9" ht="32.25" customHeight="1" x14ac:dyDescent="0.2">
      <c r="A66" s="1824"/>
      <c r="B66" s="1824"/>
      <c r="C66" s="239" t="str">
        <f>F!C239</f>
        <v>Most of the AA has a slope of &gt;5%, or is very close to the base of a natural slope longer than 100 and much steeper than the slope of the AA,  AND the pH of surface water, if known, is &gt;5.5.</v>
      </c>
      <c r="D66" s="138">
        <f>F!D239</f>
        <v>0</v>
      </c>
      <c r="E66" s="254">
        <v>2</v>
      </c>
      <c r="F66" s="255">
        <f>D66*E66</f>
        <v>0</v>
      </c>
      <c r="G66" s="271"/>
      <c r="H66" s="1703"/>
      <c r="I66" s="1803"/>
    </row>
    <row r="67" spans="1:9" ht="27" customHeight="1" thickBot="1" x14ac:dyDescent="0.25">
      <c r="A67" s="1835"/>
      <c r="B67" s="1824"/>
      <c r="C67" s="888" t="str">
        <f>F!C240</f>
        <v>Neither of above is true, although some groundwater may discharge to or flow through the AA. Or groundwater influx is unknown.</v>
      </c>
      <c r="D67" s="143">
        <f>F!D240</f>
        <v>0</v>
      </c>
      <c r="E67" s="258">
        <v>3</v>
      </c>
      <c r="F67" s="269">
        <f>D67*E67</f>
        <v>0</v>
      </c>
      <c r="G67" s="257"/>
      <c r="H67" s="1703"/>
      <c r="I67" s="1806"/>
    </row>
    <row r="68" spans="1:9" ht="21" customHeight="1" thickBot="1" x14ac:dyDescent="0.25">
      <c r="A68" s="1816" t="str">
        <f>F!A241</f>
        <v>F51</v>
      </c>
      <c r="B68" s="1816" t="str">
        <f>F!B241</f>
        <v>Internal Gradient</v>
      </c>
      <c r="C68" s="226" t="str">
        <f>F!C241</f>
        <v>The gradient along most of the flow path within the AA is:</v>
      </c>
      <c r="D68" s="893"/>
      <c r="E68" s="251"/>
      <c r="F68" s="270"/>
      <c r="G68" s="253">
        <f>MAX(F69:F72)/MAX(E69:E72)</f>
        <v>0</v>
      </c>
      <c r="H68" s="1713" t="s">
        <v>1530</v>
      </c>
      <c r="I68" s="1802" t="s">
        <v>271</v>
      </c>
    </row>
    <row r="69" spans="1:9" ht="15" customHeight="1" x14ac:dyDescent="0.2">
      <c r="A69" s="1790"/>
      <c r="B69" s="1790"/>
      <c r="C69" s="889" t="str">
        <f>F!C242</f>
        <v>&lt;2% or the AA has no surface water outlet (not even seasonally).</v>
      </c>
      <c r="D69" s="122">
        <f>F!D242</f>
        <v>0</v>
      </c>
      <c r="E69" s="275">
        <v>5</v>
      </c>
      <c r="F69" s="255">
        <f>D69*E69</f>
        <v>0</v>
      </c>
      <c r="G69" s="274"/>
      <c r="H69" s="1714"/>
      <c r="I69" s="1803"/>
    </row>
    <row r="70" spans="1:9" ht="15" customHeight="1" x14ac:dyDescent="0.2">
      <c r="A70" s="1790"/>
      <c r="B70" s="1790"/>
      <c r="C70" s="890" t="str">
        <f>F!C243</f>
        <v>2-5%.</v>
      </c>
      <c r="D70" s="135">
        <f>F!D243</f>
        <v>0</v>
      </c>
      <c r="E70" s="275">
        <v>3</v>
      </c>
      <c r="F70" s="255">
        <f>D70*E70</f>
        <v>0</v>
      </c>
      <c r="G70" s="271"/>
      <c r="H70" s="1714"/>
      <c r="I70" s="1803"/>
    </row>
    <row r="71" spans="1:9" ht="15" customHeight="1" x14ac:dyDescent="0.2">
      <c r="A71" s="1790"/>
      <c r="B71" s="1790"/>
      <c r="C71" s="890" t="str">
        <f>F!C244</f>
        <v>6-10%.</v>
      </c>
      <c r="D71" s="136">
        <f>F!D244</f>
        <v>0</v>
      </c>
      <c r="E71" s="275">
        <v>2</v>
      </c>
      <c r="F71" s="255">
        <f>D71*E71</f>
        <v>0</v>
      </c>
      <c r="G71" s="271"/>
      <c r="H71" s="1714"/>
      <c r="I71" s="1803"/>
    </row>
    <row r="72" spans="1:9" ht="15" customHeight="1" thickBot="1" x14ac:dyDescent="0.25">
      <c r="A72" s="1791"/>
      <c r="B72" s="1791"/>
      <c r="C72" s="891" t="str">
        <f>F!C245</f>
        <v>&gt;10%.</v>
      </c>
      <c r="D72" s="123">
        <f>F!D245</f>
        <v>0</v>
      </c>
      <c r="E72" s="892">
        <v>0</v>
      </c>
      <c r="F72" s="260">
        <f>D72*E72</f>
        <v>0</v>
      </c>
      <c r="G72" s="261"/>
      <c r="H72" s="1715"/>
      <c r="I72" s="1804"/>
    </row>
    <row r="73" spans="1:9" s="56" customFormat="1" ht="36" customHeight="1" thickBot="1" x14ac:dyDescent="0.25">
      <c r="A73" s="849" t="s">
        <v>88</v>
      </c>
      <c r="B73" s="850" t="s">
        <v>1901</v>
      </c>
      <c r="C73" s="851" t="s">
        <v>1164</v>
      </c>
      <c r="D73" s="852" t="s">
        <v>45</v>
      </c>
      <c r="E73" s="853" t="s">
        <v>1188</v>
      </c>
      <c r="F73" s="854" t="s">
        <v>2583</v>
      </c>
      <c r="G73" s="1344" t="s">
        <v>2576</v>
      </c>
      <c r="H73" s="850" t="s">
        <v>1117</v>
      </c>
      <c r="I73" s="872" t="s">
        <v>2427</v>
      </c>
    </row>
    <row r="74" spans="1:9" ht="21" customHeight="1" thickBot="1" x14ac:dyDescent="0.25">
      <c r="A74" s="1837" t="str">
        <f>OF!A92</f>
        <v>OF17</v>
      </c>
      <c r="B74" s="1816" t="str">
        <f>OF!B92</f>
        <v>Flood Damage from Non-tidal Waters</v>
      </c>
      <c r="C74" s="229" t="str">
        <f>OF!C92</f>
        <v>Within 5 km downstream or downslope of the AA (select first true choice):</v>
      </c>
      <c r="D74" s="1120"/>
      <c r="E74" s="267"/>
      <c r="F74" s="273"/>
      <c r="G74" s="746">
        <f>(MAX(F75:F78)/MAX(E75:E78))</f>
        <v>0</v>
      </c>
      <c r="H74" s="1669" t="s">
        <v>599</v>
      </c>
      <c r="I74" s="1669" t="s">
        <v>272</v>
      </c>
    </row>
    <row r="75" spans="1:9" ht="27" customHeight="1" x14ac:dyDescent="0.2">
      <c r="A75" s="1837"/>
      <c r="B75" s="1790"/>
      <c r="C75" s="230" t="str">
        <f>OF!C93</f>
        <v>Maps show Flood Zone or Flood Risk areas and there appears to be infrastructure vulnerable to river flooding not caused by tidal storm surges.</v>
      </c>
      <c r="D75" s="122">
        <f>OF!D93</f>
        <v>0</v>
      </c>
      <c r="E75" s="254">
        <v>4</v>
      </c>
      <c r="F75" s="255">
        <f>D75*E75</f>
        <v>0</v>
      </c>
      <c r="G75" s="273"/>
      <c r="H75" s="1670"/>
      <c r="I75" s="1670"/>
    </row>
    <row r="76" spans="1:9" ht="42" customHeight="1" x14ac:dyDescent="0.2">
      <c r="A76" s="1837"/>
      <c r="B76" s="1790"/>
      <c r="C76" s="232" t="str">
        <f>OF!C94</f>
        <v>Maps show Flood Zone or Flood Risk areas, but infrastructure is absent or is not vulnerable to floods from a non-tidal river.  In some cases levees, upriver dams, or other measures may partly limit damage or risk from smaller events.</v>
      </c>
      <c r="D76" s="122">
        <f>OF!D94</f>
        <v>0</v>
      </c>
      <c r="E76" s="254">
        <v>1</v>
      </c>
      <c r="F76" s="255">
        <f>D76*E76</f>
        <v>0</v>
      </c>
      <c r="G76" s="1308"/>
      <c r="H76" s="1670"/>
      <c r="I76" s="1670"/>
    </row>
    <row r="77" spans="1:9" ht="30.75" customHeight="1" x14ac:dyDescent="0.2">
      <c r="A77" s="1837"/>
      <c r="B77" s="1790"/>
      <c r="C77" s="232" t="str">
        <f>OF!C95</f>
        <v>Maps do not show Flood Zone or Flood Risk areas (or no such mapping has been done locally) and there appears to be infrastructure vulnerable to river flooding unrelated to tidal storm surges.</v>
      </c>
      <c r="D77" s="122">
        <f>OF!D95</f>
        <v>0</v>
      </c>
      <c r="E77" s="254">
        <v>2</v>
      </c>
      <c r="F77" s="255">
        <f>D77*E77</f>
        <v>0</v>
      </c>
      <c r="G77" s="1308"/>
      <c r="H77" s="1670"/>
      <c r="I77" s="1670"/>
    </row>
    <row r="78" spans="1:9" ht="27" customHeight="1" thickBot="1" x14ac:dyDescent="0.25">
      <c r="A78" s="1837"/>
      <c r="B78" s="1790"/>
      <c r="C78" s="373" t="str">
        <f>OF!C96</f>
        <v>Maps do not show Flood Zone or Flood Risk areas (or no such mapping has been done locally) and there is no infrastructure vulnerable to river flooding unrelated to tidal storm surges.</v>
      </c>
      <c r="D78" s="136">
        <f>OF!D96</f>
        <v>0</v>
      </c>
      <c r="E78" s="258">
        <v>0</v>
      </c>
      <c r="F78" s="255">
        <f>D78*E78</f>
        <v>0</v>
      </c>
      <c r="G78" s="1309"/>
      <c r="H78" s="1671"/>
      <c r="I78" s="1671"/>
    </row>
    <row r="79" spans="1:9" ht="60" customHeight="1" thickBot="1" x14ac:dyDescent="0.25">
      <c r="A79" s="59" t="str">
        <f>OF!A114</f>
        <v>OF23</v>
      </c>
      <c r="B79" s="59" t="str">
        <f>OF!B97</f>
        <v>Relative Elevation in Watershed</v>
      </c>
      <c r="C79" s="1121" t="str">
        <f>OF!C97</f>
        <v>In Google Earth, enable the Terrain layer (lower left menu) and open the NB_Watersheds KMZ file that accompanies this calculator. Then determine the AA's approximate elevation (bottom right, NOT the "eye alt").  Then move cursor around to determine the watershed's maximum and minimum elevation.  Divide the AA's elevation by the (max-min).</v>
      </c>
      <c r="D79" s="1305"/>
      <c r="E79" s="1305"/>
      <c r="F79" s="1306"/>
      <c r="G79" s="1307">
        <f>ShedPos</f>
        <v>0</v>
      </c>
      <c r="H79" s="1300" t="s">
        <v>1531</v>
      </c>
      <c r="I79" s="120" t="s">
        <v>1532</v>
      </c>
    </row>
    <row r="80" spans="1:9" ht="69" customHeight="1" thickBot="1" x14ac:dyDescent="0.25">
      <c r="A80" s="1816" t="str">
        <f>OF!A114</f>
        <v>OF23</v>
      </c>
      <c r="B80" s="1813" t="str">
        <f>OF!B114</f>
        <v>Unvegetated Surface in the Contributing Area</v>
      </c>
      <c r="C80" s="59" t="str">
        <f>OF!C114</f>
        <v>The proportion of the AA's contributing area (measured to no more than 1000 m upslope) that is comprised of buildings, roads, parking lots, other pavement, exposed bedrock, landslides, and other mostly-bare surface is about :</v>
      </c>
      <c r="D80" s="1316"/>
      <c r="E80" s="251"/>
      <c r="F80" s="270"/>
      <c r="G80" s="277">
        <f>IF((NoCA=1),"",MAX(F81:F83)/MAX(E81:E83))</f>
        <v>0</v>
      </c>
      <c r="H80" s="1693" t="s">
        <v>1880</v>
      </c>
      <c r="I80" s="1802" t="s">
        <v>273</v>
      </c>
    </row>
    <row r="81" spans="1:11" ht="33" customHeight="1" x14ac:dyDescent="0.2">
      <c r="A81" s="1790"/>
      <c r="B81" s="1814"/>
      <c r="C81" s="1397" t="str">
        <f>OF!C115</f>
        <v>&lt;10%.</v>
      </c>
      <c r="D81" s="122">
        <f>OF!D115</f>
        <v>0</v>
      </c>
      <c r="E81" s="254">
        <v>0</v>
      </c>
      <c r="F81" s="255">
        <f>D81*E81</f>
        <v>0</v>
      </c>
      <c r="G81" s="274"/>
      <c r="H81" s="1696"/>
      <c r="I81" s="1803"/>
    </row>
    <row r="82" spans="1:11" ht="33" customHeight="1" x14ac:dyDescent="0.2">
      <c r="A82" s="1790"/>
      <c r="B82" s="1814"/>
      <c r="C82" s="1398" t="str">
        <f>OF!C116</f>
        <v>10 to 25%.</v>
      </c>
      <c r="D82" s="122">
        <f>OF!D116</f>
        <v>0</v>
      </c>
      <c r="E82" s="254">
        <v>3</v>
      </c>
      <c r="F82" s="255">
        <f>D82*E82</f>
        <v>0</v>
      </c>
      <c r="G82" s="271"/>
      <c r="H82" s="1696"/>
      <c r="I82" s="1803"/>
    </row>
    <row r="83" spans="1:11" ht="33" customHeight="1" thickBot="1" x14ac:dyDescent="0.25">
      <c r="A83" s="1791"/>
      <c r="B83" s="1815"/>
      <c r="C83" s="882" t="str">
        <f>OF!C117</f>
        <v>&gt;25%.</v>
      </c>
      <c r="D83" s="123">
        <f>OF!D117</f>
        <v>0</v>
      </c>
      <c r="E83" s="259">
        <v>4</v>
      </c>
      <c r="F83" s="260">
        <f>D83*E83</f>
        <v>0</v>
      </c>
      <c r="G83" s="261"/>
      <c r="H83" s="1712"/>
      <c r="I83" s="1804"/>
    </row>
    <row r="84" spans="1:11" ht="126" customHeight="1" thickBot="1" x14ac:dyDescent="0.25">
      <c r="A84" s="1790" t="str">
        <f>OF!A118</f>
        <v>OF24</v>
      </c>
      <c r="B84" s="1790" t="str">
        <f>OF!B118</f>
        <v>Transport From Upslope</v>
      </c>
      <c r="C84" s="1366" t="str">
        <f>OF!C118</f>
        <v>A relatively large proportion of the precipitation that falls farther upslope in the CA reaches this wetland quickly as runoff (surface water), as indicated by the following: 
(a) input channel is present,
(b) input channels have been straightened,
(c) upslope wetlands have been ditched extensively,
(d) land cover is mostly non-forest,
(e) CA slopes are steep, and/or
(f) most CA soils are shallow (bedrock near surface) and/or have high runoff coefficients. 
This statement is:</v>
      </c>
      <c r="D84" s="267"/>
      <c r="E84" s="267"/>
      <c r="F84" s="273"/>
      <c r="G84" s="746">
        <f>IF((NoCA=1),"",MAX(F85:F87)/MAX(E85:E87))</f>
        <v>0</v>
      </c>
      <c r="H84" s="1714" t="s">
        <v>912</v>
      </c>
      <c r="I84" s="1802" t="s">
        <v>274</v>
      </c>
    </row>
    <row r="85" spans="1:11" ht="15" customHeight="1" x14ac:dyDescent="0.2">
      <c r="A85" s="1790"/>
      <c r="B85" s="1814"/>
      <c r="C85" s="1318" t="str">
        <f>OF!C119</f>
        <v>Mostly true.</v>
      </c>
      <c r="D85" s="674">
        <f>OF!D119</f>
        <v>0</v>
      </c>
      <c r="E85" s="254">
        <v>2</v>
      </c>
      <c r="F85" s="255">
        <f>D85*E85</f>
        <v>0</v>
      </c>
      <c r="G85" s="274"/>
      <c r="H85" s="1714"/>
      <c r="I85" s="1803"/>
    </row>
    <row r="86" spans="1:11" ht="15" customHeight="1" x14ac:dyDescent="0.2">
      <c r="A86" s="1790"/>
      <c r="B86" s="1814"/>
      <c r="C86" s="1317" t="str">
        <f>OF!C120</f>
        <v>Somewhat true.</v>
      </c>
      <c r="D86" s="675">
        <f>OF!D120</f>
        <v>0</v>
      </c>
      <c r="E86" s="254">
        <v>1</v>
      </c>
      <c r="F86" s="255">
        <f>D86*E86</f>
        <v>0</v>
      </c>
      <c r="G86" s="271"/>
      <c r="H86" s="1714"/>
      <c r="I86" s="1803"/>
    </row>
    <row r="87" spans="1:11" ht="15" customHeight="1" thickBot="1" x14ac:dyDescent="0.25">
      <c r="A87" s="1791"/>
      <c r="B87" s="1815"/>
      <c r="C87" s="1319" t="str">
        <f>OF!C121</f>
        <v>Mostly untrue.</v>
      </c>
      <c r="D87" s="691">
        <f>OF!D121</f>
        <v>0</v>
      </c>
      <c r="E87" s="259">
        <v>0</v>
      </c>
      <c r="F87" s="260">
        <f>D87*E87</f>
        <v>0</v>
      </c>
      <c r="G87" s="261"/>
      <c r="H87" s="1715"/>
      <c r="I87" s="1804"/>
    </row>
    <row r="88" spans="1:11" ht="21" customHeight="1" thickBot="1" x14ac:dyDescent="0.25">
      <c r="A88" s="29"/>
      <c r="B88" s="29"/>
      <c r="E88" s="29"/>
      <c r="F88" s="29"/>
      <c r="G88" s="29"/>
      <c r="H88" s="29"/>
      <c r="I88" s="29"/>
    </row>
    <row r="89" spans="1:11" ht="28.9" customHeight="1" x14ac:dyDescent="0.2">
      <c r="A89" s="29"/>
      <c r="B89" s="29"/>
      <c r="D89" s="1829" t="s">
        <v>2414</v>
      </c>
      <c r="E89" s="1830"/>
      <c r="F89" s="1830"/>
      <c r="G89" s="916">
        <f>(3*AVERAGE(SoilTex1,Groundw1, CApct1) + AVERAGE(_GDD1, Aspect1))/4</f>
        <v>0</v>
      </c>
      <c r="H89" s="1029" t="s">
        <v>2415</v>
      </c>
      <c r="I89" s="1030" t="s">
        <v>2099</v>
      </c>
    </row>
    <row r="90" spans="1:11" ht="21" customHeight="1" x14ac:dyDescent="0.2">
      <c r="A90" s="29"/>
      <c r="B90" s="29"/>
      <c r="D90" s="1831" t="s">
        <v>1119</v>
      </c>
      <c r="E90" s="1832"/>
      <c r="F90" s="1832"/>
      <c r="G90" s="917">
        <f>IF((AllSat1=1),"",AVERAGE(Fluctua1,SeasPct1))</f>
        <v>0</v>
      </c>
      <c r="H90" s="1034" t="s">
        <v>2885</v>
      </c>
      <c r="I90" s="1031" t="s">
        <v>2453</v>
      </c>
    </row>
    <row r="91" spans="1:11" ht="30" customHeight="1" thickBot="1" x14ac:dyDescent="0.25">
      <c r="A91" s="29"/>
      <c r="B91" s="29"/>
      <c r="D91" s="1833" t="s">
        <v>319</v>
      </c>
      <c r="E91" s="1834"/>
      <c r="F91" s="1834"/>
      <c r="G91" s="918">
        <f>IF((AllSat1=1),(3*Gradient1+Girreg1)/4, AVERAGE(Gradient1,Constric1,ThruFlo1,FloDist1,IsoDry1))</f>
        <v>0.1</v>
      </c>
      <c r="H91" s="1032" t="s">
        <v>2097</v>
      </c>
      <c r="I91" s="1033" t="s">
        <v>319</v>
      </c>
    </row>
    <row r="92" spans="1:11" ht="21" customHeight="1" thickBot="1" x14ac:dyDescent="0.25">
      <c r="A92" s="29"/>
      <c r="B92" s="29"/>
      <c r="E92" s="29"/>
      <c r="F92" s="29"/>
      <c r="G92" s="29"/>
      <c r="H92" s="29"/>
    </row>
    <row r="93" spans="1:11" s="278" customFormat="1" ht="30" customHeight="1" thickBot="1" x14ac:dyDescent="0.25">
      <c r="A93" s="29"/>
      <c r="B93" s="840"/>
      <c r="C93" s="1826" t="s">
        <v>79</v>
      </c>
      <c r="D93" s="1827"/>
      <c r="E93" s="1828"/>
      <c r="F93" s="859" t="s">
        <v>52</v>
      </c>
      <c r="G93" s="857">
        <f>10*(IF((AllSat1=1),AVERAGE(OutDura1,AVERAGE(Friction,Subsurf)), AVERAGE(OutDura1,(4*LiveStore+2*Friction+Subsurf)/7)))</f>
        <v>0.14285714285714288</v>
      </c>
      <c r="H93" s="1807" t="s">
        <v>2416</v>
      </c>
      <c r="I93" s="1808"/>
      <c r="K93" s="279"/>
    </row>
    <row r="94" spans="1:11" s="1347" customFormat="1" ht="30" customHeight="1" thickBot="1" x14ac:dyDescent="0.25">
      <c r="A94" s="1345"/>
      <c r="B94" s="1346"/>
      <c r="C94" s="1826" t="s">
        <v>1902</v>
      </c>
      <c r="D94" s="1827"/>
      <c r="E94" s="1828"/>
      <c r="F94" s="1046" t="s">
        <v>2223</v>
      </c>
      <c r="G94" s="858">
        <f>10*(IF((FloodBdg1=1), 1,AVERAGE(FloodBdg1,ShedPos1,CAunveg1,Transport1)))</f>
        <v>0</v>
      </c>
      <c r="H94" s="1809" t="s">
        <v>2584</v>
      </c>
      <c r="I94" s="1810"/>
      <c r="K94" s="1348"/>
    </row>
    <row r="95" spans="1:11" ht="21" customHeight="1" thickBot="1" x14ac:dyDescent="0.25">
      <c r="A95" s="29"/>
      <c r="B95" s="29"/>
      <c r="E95" s="29"/>
      <c r="F95" s="29"/>
      <c r="G95" s="29"/>
      <c r="H95" s="29"/>
    </row>
    <row r="96" spans="1:11" ht="21" customHeight="1" thickBot="1" x14ac:dyDescent="0.25">
      <c r="A96" s="29"/>
      <c r="B96" s="29"/>
      <c r="E96" s="29"/>
      <c r="F96" s="29"/>
      <c r="G96" s="29"/>
      <c r="H96" s="1798" t="s">
        <v>669</v>
      </c>
      <c r="I96" s="1799"/>
    </row>
    <row r="97" spans="1:9" ht="27" customHeight="1" x14ac:dyDescent="0.2">
      <c r="A97" s="29"/>
      <c r="B97" s="29"/>
      <c r="E97" s="29"/>
      <c r="F97" s="29"/>
      <c r="G97" s="29"/>
      <c r="H97" s="1800" t="s">
        <v>2585</v>
      </c>
      <c r="I97" s="1801"/>
    </row>
    <row r="98" spans="1:9" ht="27" customHeight="1" x14ac:dyDescent="0.2">
      <c r="A98" s="29"/>
      <c r="B98" s="29"/>
      <c r="E98" s="29"/>
      <c r="F98" s="29"/>
      <c r="G98" s="29"/>
      <c r="H98" s="1792" t="s">
        <v>670</v>
      </c>
      <c r="I98" s="1793"/>
    </row>
    <row r="99" spans="1:9" ht="42" customHeight="1" x14ac:dyDescent="0.2">
      <c r="A99" s="29"/>
      <c r="B99" s="29"/>
      <c r="E99" s="29"/>
      <c r="F99" s="29"/>
      <c r="G99" s="29"/>
      <c r="H99" s="1792" t="s">
        <v>1705</v>
      </c>
      <c r="I99" s="1793"/>
    </row>
    <row r="100" spans="1:9" ht="42" customHeight="1" x14ac:dyDescent="0.2">
      <c r="A100" s="29"/>
      <c r="B100" s="29"/>
      <c r="E100" s="29"/>
      <c r="F100" s="29"/>
      <c r="G100" s="29"/>
      <c r="H100" s="1792" t="s">
        <v>1903</v>
      </c>
      <c r="I100" s="1793"/>
    </row>
    <row r="101" spans="1:9" ht="42" customHeight="1" x14ac:dyDescent="0.2">
      <c r="A101" s="29"/>
      <c r="B101" s="29"/>
      <c r="E101" s="29"/>
      <c r="F101" s="29"/>
      <c r="G101" s="29"/>
      <c r="H101" s="1792" t="s">
        <v>671</v>
      </c>
      <c r="I101" s="1793"/>
    </row>
    <row r="102" spans="1:9" ht="42" customHeight="1" x14ac:dyDescent="0.2">
      <c r="A102" s="29"/>
      <c r="B102" s="29"/>
      <c r="E102" s="29"/>
      <c r="F102" s="29"/>
      <c r="G102" s="29"/>
      <c r="H102" s="1792" t="s">
        <v>1118</v>
      </c>
      <c r="I102" s="1793"/>
    </row>
    <row r="103" spans="1:9" ht="42" customHeight="1" x14ac:dyDescent="0.2">
      <c r="A103" s="29"/>
      <c r="B103" s="29"/>
      <c r="E103" s="29"/>
      <c r="F103" s="29"/>
      <c r="G103" s="29"/>
      <c r="H103" s="1792" t="s">
        <v>1704</v>
      </c>
      <c r="I103" s="1793"/>
    </row>
    <row r="104" spans="1:9" ht="27" customHeight="1" x14ac:dyDescent="0.2">
      <c r="A104" s="29"/>
      <c r="B104" s="29"/>
      <c r="E104" s="29"/>
      <c r="F104" s="29"/>
      <c r="G104" s="29"/>
      <c r="H104" s="1792" t="s">
        <v>1422</v>
      </c>
      <c r="I104" s="1793"/>
    </row>
    <row r="105" spans="1:9" ht="42" customHeight="1" x14ac:dyDescent="0.2">
      <c r="A105" s="29"/>
      <c r="B105" s="29"/>
      <c r="E105" s="29"/>
      <c r="F105" s="29"/>
      <c r="G105" s="29"/>
      <c r="H105" s="1792" t="s">
        <v>672</v>
      </c>
      <c r="I105" s="1793"/>
    </row>
    <row r="106" spans="1:9" ht="27" customHeight="1" x14ac:dyDescent="0.2">
      <c r="B106" s="29"/>
      <c r="E106" s="29"/>
      <c r="F106" s="29"/>
      <c r="G106" s="29"/>
      <c r="H106" s="1792" t="s">
        <v>673</v>
      </c>
      <c r="I106" s="1793"/>
    </row>
    <row r="107" spans="1:9" ht="27" customHeight="1" x14ac:dyDescent="0.2">
      <c r="B107" s="29"/>
      <c r="E107" s="29"/>
      <c r="F107" s="29"/>
      <c r="G107" s="29"/>
      <c r="H107" s="1796" t="s">
        <v>1415</v>
      </c>
      <c r="I107" s="1797"/>
    </row>
    <row r="108" spans="1:9" ht="27" customHeight="1" x14ac:dyDescent="0.2">
      <c r="B108" s="29"/>
      <c r="E108" s="29"/>
      <c r="F108" s="29"/>
      <c r="G108" s="29"/>
      <c r="H108" s="1792" t="s">
        <v>674</v>
      </c>
      <c r="I108" s="1793"/>
    </row>
    <row r="109" spans="1:9" ht="27" customHeight="1" x14ac:dyDescent="0.2">
      <c r="B109" s="29"/>
      <c r="E109" s="29"/>
      <c r="F109" s="29"/>
      <c r="G109" s="29"/>
      <c r="H109" s="1792" t="s">
        <v>675</v>
      </c>
      <c r="I109" s="1793"/>
    </row>
    <row r="110" spans="1:9" ht="27" customHeight="1" thickBot="1" x14ac:dyDescent="0.25">
      <c r="H110" s="1794" t="s">
        <v>676</v>
      </c>
      <c r="I110" s="1795"/>
    </row>
    <row r="111" spans="1:9" ht="15" customHeight="1" x14ac:dyDescent="0.2">
      <c r="H111" s="755"/>
    </row>
    <row r="117" spans="8:8" ht="15" customHeight="1" x14ac:dyDescent="0.2">
      <c r="H117" s="2" t="s">
        <v>912</v>
      </c>
    </row>
  </sheetData>
  <sheetProtection algorithmName="SHA-512" hashValue="X7M+D6zKNrj+lkV/hGcHLNRcoXP4lYOTBziZG93mPU9yFHePBzx1wzcl1/AlyIU/KNYmqgHkWCpkXsWWAeinoQ==" saltValue="rg3bEQSzmwd3aEQK/q1N7w==" spinCount="100000" sheet="1" objects="1" scenarios="1" formatCells="0" formatColumns="0" formatRows="0"/>
  <customSheetViews>
    <customSheetView guid="{B8E02330-2419-4DE6-AD01-7ACC7A5D18DD}" scale="75" topLeftCell="A108">
      <selection activeCell="F120" sqref="F120"/>
      <pageMargins left="0.75" right="0.75" top="1" bottom="1" header="0.5" footer="0.5"/>
      <pageSetup orientation="portrait" horizontalDpi="4294967294" verticalDpi="300" r:id="rId1"/>
      <headerFooter alignWithMargins="0"/>
    </customSheetView>
  </customSheetViews>
  <mergeCells count="88">
    <mergeCell ref="A36:A41"/>
    <mergeCell ref="A80:A83"/>
    <mergeCell ref="H42:H47"/>
    <mergeCell ref="I64:I67"/>
    <mergeCell ref="I80:I83"/>
    <mergeCell ref="A48:A53"/>
    <mergeCell ref="I48:I53"/>
    <mergeCell ref="I54:I57"/>
    <mergeCell ref="I58:I63"/>
    <mergeCell ref="I68:I72"/>
    <mergeCell ref="A64:A67"/>
    <mergeCell ref="A42:A47"/>
    <mergeCell ref="A74:A78"/>
    <mergeCell ref="A54:A57"/>
    <mergeCell ref="H48:H53"/>
    <mergeCell ref="B36:B41"/>
    <mergeCell ref="C94:E94"/>
    <mergeCell ref="D89:F89"/>
    <mergeCell ref="B84:B87"/>
    <mergeCell ref="B74:B78"/>
    <mergeCell ref="C93:E93"/>
    <mergeCell ref="D90:F90"/>
    <mergeCell ref="D91:F91"/>
    <mergeCell ref="B80:B83"/>
    <mergeCell ref="A68:A72"/>
    <mergeCell ref="A58:A63"/>
    <mergeCell ref="H64:H67"/>
    <mergeCell ref="B64:B67"/>
    <mergeCell ref="B42:B47"/>
    <mergeCell ref="B58:B63"/>
    <mergeCell ref="B48:B53"/>
    <mergeCell ref="H58:H63"/>
    <mergeCell ref="H54:H57"/>
    <mergeCell ref="B68:B72"/>
    <mergeCell ref="B54:B57"/>
    <mergeCell ref="A24:A29"/>
    <mergeCell ref="B30:B35"/>
    <mergeCell ref="A20:A23"/>
    <mergeCell ref="H20:H23"/>
    <mergeCell ref="B20:B23"/>
    <mergeCell ref="H24:H29"/>
    <mergeCell ref="B24:B29"/>
    <mergeCell ref="A30:A35"/>
    <mergeCell ref="E1:I1"/>
    <mergeCell ref="I3:I7"/>
    <mergeCell ref="I8:I11"/>
    <mergeCell ref="H8:H11"/>
    <mergeCell ref="H3:H7"/>
    <mergeCell ref="A1:B1"/>
    <mergeCell ref="B3:B7"/>
    <mergeCell ref="A8:A11"/>
    <mergeCell ref="B8:B11"/>
    <mergeCell ref="B12:B18"/>
    <mergeCell ref="A12:A18"/>
    <mergeCell ref="A3:A7"/>
    <mergeCell ref="H93:I93"/>
    <mergeCell ref="H94:I94"/>
    <mergeCell ref="I84:I87"/>
    <mergeCell ref="I30:I35"/>
    <mergeCell ref="I36:I41"/>
    <mergeCell ref="H84:H87"/>
    <mergeCell ref="H80:H83"/>
    <mergeCell ref="H68:H72"/>
    <mergeCell ref="H36:H41"/>
    <mergeCell ref="H74:H78"/>
    <mergeCell ref="I74:I78"/>
    <mergeCell ref="I12:I18"/>
    <mergeCell ref="I20:I23"/>
    <mergeCell ref="I24:I29"/>
    <mergeCell ref="I42:I47"/>
    <mergeCell ref="H12:H18"/>
    <mergeCell ref="H30:H35"/>
    <mergeCell ref="A84:A87"/>
    <mergeCell ref="H98:I98"/>
    <mergeCell ref="H109:I109"/>
    <mergeCell ref="H110:I110"/>
    <mergeCell ref="H104:I104"/>
    <mergeCell ref="H105:I105"/>
    <mergeCell ref="H106:I106"/>
    <mergeCell ref="H107:I107"/>
    <mergeCell ref="H108:I108"/>
    <mergeCell ref="H99:I99"/>
    <mergeCell ref="H100:I100"/>
    <mergeCell ref="H101:I101"/>
    <mergeCell ref="H102:I102"/>
    <mergeCell ref="H103:I103"/>
    <mergeCell ref="H96:I96"/>
    <mergeCell ref="H97:I97"/>
  </mergeCells>
  <phoneticPr fontId="3" type="noConversion"/>
  <pageMargins left="0.75" right="0.75" top="1" bottom="1" header="0.5" footer="0.5"/>
  <pageSetup orientation="portrait" horizontalDpi="4294967294" verticalDpi="300"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3"/>
  <dimension ref="A1:K60"/>
  <sheetViews>
    <sheetView topLeftCell="A12" zoomScaleNormal="100" workbookViewId="0">
      <selection activeCell="N20" sqref="N20"/>
    </sheetView>
  </sheetViews>
  <sheetFormatPr defaultColWidth="9.33203125" defaultRowHeight="16.5" x14ac:dyDescent="0.2"/>
  <cols>
    <col min="1" max="1" width="5.83203125" style="10" customWidth="1"/>
    <col min="2" max="2" width="18.83203125" style="10" customWidth="1"/>
    <col min="3" max="3" width="75.83203125" style="2" customWidth="1"/>
    <col min="4" max="6" width="7.83203125" style="80" customWidth="1"/>
    <col min="7" max="7" width="9.6640625" style="62" customWidth="1"/>
    <col min="8" max="8" width="65.83203125" style="2" customWidth="1"/>
    <col min="9" max="9" width="12.6640625" style="2" customWidth="1"/>
    <col min="10" max="10" width="9.33203125" style="2"/>
    <col min="11" max="11" width="9.33203125" style="56"/>
    <col min="12" max="16384" width="9.33203125" style="2"/>
  </cols>
  <sheetData>
    <row r="1" spans="1:11" s="52" customFormat="1" ht="45" customHeight="1" thickBot="1" x14ac:dyDescent="0.25">
      <c r="A1" s="1860" t="s">
        <v>1326</v>
      </c>
      <c r="B1" s="1861"/>
      <c r="C1" s="1407" t="s">
        <v>2586</v>
      </c>
      <c r="D1" s="1399" t="s">
        <v>1080</v>
      </c>
      <c r="E1" s="1857"/>
      <c r="F1" s="1858"/>
      <c r="G1" s="1858"/>
      <c r="H1" s="1858"/>
      <c r="I1" s="1858"/>
      <c r="K1" s="247"/>
    </row>
    <row r="2" spans="1:11" s="247" customFormat="1" ht="36" customHeight="1" thickBot="1" x14ac:dyDescent="0.25">
      <c r="A2" s="833" t="s">
        <v>88</v>
      </c>
      <c r="B2" s="833" t="s">
        <v>1424</v>
      </c>
      <c r="C2" s="843" t="s">
        <v>1164</v>
      </c>
      <c r="D2" s="844" t="s">
        <v>45</v>
      </c>
      <c r="E2" s="845" t="s">
        <v>1188</v>
      </c>
      <c r="F2" s="846" t="s">
        <v>1189</v>
      </c>
      <c r="G2" s="837" t="s">
        <v>2576</v>
      </c>
      <c r="H2" s="848" t="s">
        <v>1117</v>
      </c>
      <c r="I2" s="895" t="s">
        <v>2427</v>
      </c>
    </row>
    <row r="3" spans="1:11" ht="25.5" customHeight="1" thickBot="1" x14ac:dyDescent="0.25">
      <c r="A3" s="1721" t="str">
        <f>OF!A122</f>
        <v>OF25</v>
      </c>
      <c r="B3" s="1802" t="str">
        <f>OF!B122</f>
        <v>Aspect</v>
      </c>
      <c r="C3" s="240" t="str">
        <f>OF!C122</f>
        <v>The overland flow direction of most surface water (in streams, rivers, or runoff) that enters the AA is:</v>
      </c>
      <c r="D3" s="308"/>
      <c r="E3" s="308"/>
      <c r="F3" s="309"/>
      <c r="G3" s="327">
        <f>MAX(F4:F6)/MAX(E4:E6)</f>
        <v>0</v>
      </c>
      <c r="H3" s="1693" t="s">
        <v>1534</v>
      </c>
      <c r="I3" s="1669" t="s">
        <v>327</v>
      </c>
    </row>
    <row r="4" spans="1:11" ht="15" customHeight="1" x14ac:dyDescent="0.2">
      <c r="A4" s="1703"/>
      <c r="B4" s="1803"/>
      <c r="C4" s="1324" t="str">
        <f>OF!C123</f>
        <v>Northward (N, NE). north-facing contributing area.</v>
      </c>
      <c r="D4" s="129">
        <f>OF!D123</f>
        <v>0</v>
      </c>
      <c r="E4" s="305">
        <v>2</v>
      </c>
      <c r="F4" s="305">
        <f>D4*E4</f>
        <v>0</v>
      </c>
      <c r="G4" s="306"/>
      <c r="H4" s="1696"/>
      <c r="I4" s="1670"/>
    </row>
    <row r="5" spans="1:11" ht="15" customHeight="1" x14ac:dyDescent="0.2">
      <c r="A5" s="1703"/>
      <c r="B5" s="1803"/>
      <c r="C5" s="1058" t="str">
        <f>OF!C124</f>
        <v>Southward (S, SW). south-facing contributing area.</v>
      </c>
      <c r="D5" s="33">
        <f>OF!D124</f>
        <v>0</v>
      </c>
      <c r="E5" s="305">
        <v>0</v>
      </c>
      <c r="F5" s="305">
        <f>D5*E5</f>
        <v>0</v>
      </c>
      <c r="G5" s="300"/>
      <c r="H5" s="1696"/>
      <c r="I5" s="1670"/>
    </row>
    <row r="6" spans="1:11" ht="15" customHeight="1" thickBot="1" x14ac:dyDescent="0.25">
      <c r="A6" s="1722"/>
      <c r="B6" s="1804"/>
      <c r="C6" s="1061" t="str">
        <f>OF!C125</f>
        <v>Other (E, SE, W, NW), or no detectable uphill slope or input channel (flat).</v>
      </c>
      <c r="D6" s="84">
        <f>OF!D125</f>
        <v>0</v>
      </c>
      <c r="E6" s="311">
        <v>1</v>
      </c>
      <c r="F6" s="311">
        <f>D6*E6</f>
        <v>0</v>
      </c>
      <c r="G6" s="312"/>
      <c r="H6" s="1712"/>
      <c r="I6" s="1671"/>
    </row>
    <row r="7" spans="1:11" ht="28.5" customHeight="1" thickBot="1" x14ac:dyDescent="0.25">
      <c r="A7" s="1669" t="str">
        <f>F!A4</f>
        <v>F1</v>
      </c>
      <c r="B7" s="1669" t="str">
        <f>F!B4</f>
        <v>Wetland Type</v>
      </c>
      <c r="C7" s="1300" t="str">
        <f>F!C4</f>
        <v>Follow the key below and mark the ONE row that best describes MOST of the vegetated part of the AA:</v>
      </c>
      <c r="D7" s="308"/>
      <c r="E7" s="308"/>
      <c r="F7" s="309"/>
      <c r="G7" s="400">
        <f>MAX(F8:F13)/MAX(E9:E13)</f>
        <v>0</v>
      </c>
      <c r="H7" s="1693" t="s">
        <v>1444</v>
      </c>
      <c r="I7" s="1669" t="s">
        <v>418</v>
      </c>
    </row>
    <row r="8" spans="1:11" ht="57" customHeight="1" thickBot="1" x14ac:dyDescent="0.25">
      <c r="A8" s="1670"/>
      <c r="B8" s="1703"/>
      <c r="C8" s="36" t="str">
        <f>F!C5</f>
        <v>A. Moss and/or lichen cover more than 25%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v>
      </c>
      <c r="D8" s="1090"/>
      <c r="E8" s="298"/>
      <c r="F8" s="298"/>
      <c r="G8" s="1077"/>
      <c r="H8" s="1696"/>
      <c r="I8" s="1670"/>
    </row>
    <row r="9" spans="1:11" ht="80.25" customHeight="1" x14ac:dyDescent="0.2">
      <c r="A9" s="1670"/>
      <c r="B9" s="1703"/>
      <c r="C9" s="1368" t="str">
        <f>F!C6</f>
        <v>A1.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(Carex rariflora). Wetland surface and surrounding landscape are seldom sloping and wetland often is domed (convex). Inlet and outlet channels are usually absent.  If known, pH of peat is &lt;4.0.</v>
      </c>
      <c r="D9" s="33">
        <f>F!D6</f>
        <v>0</v>
      </c>
      <c r="E9" s="298">
        <v>3</v>
      </c>
      <c r="F9" s="305">
        <f>D9*E9</f>
        <v>0</v>
      </c>
      <c r="G9" s="1078"/>
      <c r="H9" s="1696"/>
      <c r="I9" s="1670"/>
    </row>
    <row r="10" spans="1:11" ht="57" customHeight="1" thickBot="1" x14ac:dyDescent="0.25">
      <c r="A10" s="1670"/>
      <c r="B10" s="1703"/>
      <c r="C10" s="1086" t="str">
        <f>F!C7</f>
        <v>A2.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v>
      </c>
      <c r="D10" s="33">
        <f>F!D7</f>
        <v>0</v>
      </c>
      <c r="E10" s="298">
        <v>4</v>
      </c>
      <c r="F10" s="305">
        <f>D10*E10</f>
        <v>0</v>
      </c>
      <c r="G10" s="1078"/>
      <c r="H10" s="1696"/>
      <c r="I10" s="1670"/>
    </row>
    <row r="11" spans="1:11" ht="39.75" customHeight="1" thickBot="1" x14ac:dyDescent="0.25">
      <c r="A11" s="1670"/>
      <c r="B11" s="1703"/>
      <c r="C11" s="283" t="str">
        <f>F!C8</f>
        <v>B. Moss and/or lichen cover less than 25% of the ground. Soil is mineral or decomposed organic (muck). Choose between B1 and B2 and mark the choice with a 1 in their adjoining column:</v>
      </c>
      <c r="D11" s="305"/>
      <c r="E11" s="298"/>
      <c r="F11" s="305"/>
      <c r="G11" s="1077"/>
      <c r="H11" s="1696"/>
      <c r="I11" s="1670"/>
    </row>
    <row r="12" spans="1:11" ht="38.25" customHeight="1" x14ac:dyDescent="0.2">
      <c r="A12" s="1670"/>
      <c r="B12" s="1703"/>
      <c r="C12" s="1368" t="str">
        <f>F!C9</f>
        <v>B1. Trees and shrubs taller than 1 m comprise more than 25% of the vegetated cover. Surface water is mostly absent or inundates the vegetation only seasonally (e.g., vernal pools or floodplain).</v>
      </c>
      <c r="D12" s="33">
        <f>F!D9</f>
        <v>0</v>
      </c>
      <c r="E12" s="298">
        <v>2</v>
      </c>
      <c r="F12" s="305">
        <f>D12*E12</f>
        <v>0</v>
      </c>
      <c r="G12" s="1077"/>
      <c r="H12" s="1696"/>
      <c r="I12" s="1670"/>
    </row>
    <row r="13" spans="1:11" ht="42" customHeight="1" thickBot="1" x14ac:dyDescent="0.25">
      <c r="A13" s="1671"/>
      <c r="B13" s="1722"/>
      <c r="C13" s="1087" t="str">
        <f>F!C10</f>
        <v>B2. Not B1.  Tree &amp; tall shrubs comprise less than than 25% of the vegetated cover.  Vegetation is mostly herbaceous, e.g., cattail, bulrush, burreed, pond lily, horsetail. Surface water may be extensive and fluctuates seasonally, being either persistent or drying up partly or entirely.</v>
      </c>
      <c r="D13" s="84">
        <f>F!D10</f>
        <v>0</v>
      </c>
      <c r="E13" s="330">
        <v>1</v>
      </c>
      <c r="F13" s="311">
        <f>D13*E13</f>
        <v>0</v>
      </c>
      <c r="G13" s="1079"/>
      <c r="H13" s="1712"/>
      <c r="I13" s="1671"/>
    </row>
    <row r="14" spans="1:11" ht="45" customHeight="1" thickBot="1" x14ac:dyDescent="0.25">
      <c r="A14" s="1703" t="str">
        <f>F!A77</f>
        <v>F14</v>
      </c>
      <c r="B14" s="1670" t="str">
        <f>F!B77</f>
        <v>Soil Texture</v>
      </c>
      <c r="C14" s="184" t="str">
        <f>F!C77</f>
        <v xml:space="preserve">In parts of the AA that lack persistent water, the texture of soil in the uppermost layer is mostly:  [To determine this, use a trowel to check in at least 3 widely spaced locations, and use the soil texture key (in Appendix A of the Manual).] </v>
      </c>
      <c r="D14" s="296"/>
      <c r="E14" s="296"/>
      <c r="F14" s="303"/>
      <c r="G14" s="328">
        <f>MAX(F15:F19)/MAX(E15:E19)</f>
        <v>0</v>
      </c>
      <c r="H14" s="1696" t="s">
        <v>1706</v>
      </c>
      <c r="I14" s="1670" t="s">
        <v>324</v>
      </c>
    </row>
    <row r="15" spans="1:11" ht="27" customHeight="1" x14ac:dyDescent="0.2">
      <c r="A15" s="1703"/>
      <c r="B15" s="1670"/>
      <c r="C15" s="243" t="str">
        <f>F!C78</f>
        <v>Loamy: soils that may contain a little fine grit and do not make a "ribbon" longer than 2 cm when moistened, rolled, squeezed, and extended between thumb and forefinger.</v>
      </c>
      <c r="D15" s="129">
        <f>F!D78</f>
        <v>0</v>
      </c>
      <c r="E15" s="305">
        <v>3</v>
      </c>
      <c r="F15" s="305">
        <f>D15*E15</f>
        <v>0</v>
      </c>
      <c r="G15" s="306"/>
      <c r="H15" s="1696"/>
      <c r="I15" s="1670"/>
    </row>
    <row r="16" spans="1:11" ht="27" customHeight="1" x14ac:dyDescent="0.2">
      <c r="A16" s="1703"/>
      <c r="B16" s="1670"/>
      <c r="C16" s="244" t="str">
        <f>F!C79</f>
        <v>Fines: includes silt, clay, silt, soils that make a ribbon longer than 2 cm when moistened, rolled, squeezed, and extended between thumb and forefinger.</v>
      </c>
      <c r="D16" s="33">
        <f>F!D79</f>
        <v>0</v>
      </c>
      <c r="E16" s="305">
        <v>1</v>
      </c>
      <c r="F16" s="305">
        <f>D16*E16</f>
        <v>0</v>
      </c>
      <c r="G16" s="300"/>
      <c r="H16" s="1696"/>
      <c r="I16" s="1670"/>
    </row>
    <row r="17" spans="1:9" ht="16.899999999999999" customHeight="1" x14ac:dyDescent="0.2">
      <c r="A17" s="1703"/>
      <c r="B17" s="1670"/>
      <c r="C17" s="244" t="str">
        <f>F!C80</f>
        <v>Deep Peat, to 40 cm depth or greater.</v>
      </c>
      <c r="D17" s="33">
        <f>F!D80</f>
        <v>0</v>
      </c>
      <c r="E17" s="305">
        <v>5</v>
      </c>
      <c r="F17" s="305">
        <f>D17*E17</f>
        <v>0</v>
      </c>
      <c r="G17" s="300"/>
      <c r="H17" s="1696"/>
      <c r="I17" s="1670"/>
    </row>
    <row r="18" spans="1:9" ht="16.899999999999999" customHeight="1" x14ac:dyDescent="0.2">
      <c r="A18" s="1703"/>
      <c r="B18" s="1670"/>
      <c r="C18" s="244" t="str">
        <f>F!C81</f>
        <v xml:space="preserve">Shallow Peat or organic &lt;40 cm deep. </v>
      </c>
      <c r="D18" s="33">
        <f>F!D81</f>
        <v>0</v>
      </c>
      <c r="E18" s="305">
        <v>4</v>
      </c>
      <c r="F18" s="305">
        <f>D18*E18</f>
        <v>0</v>
      </c>
      <c r="G18" s="300"/>
      <c r="H18" s="1696"/>
      <c r="I18" s="1670"/>
    </row>
    <row r="19" spans="1:9" ht="27" customHeight="1" thickBot="1" x14ac:dyDescent="0.25">
      <c r="A19" s="1722"/>
      <c r="B19" s="1671"/>
      <c r="C19" s="242" t="str">
        <f>F!C82</f>
        <v>Coarse: includes sand, loamy sand, gravel, cobble, soils that do not make a ribbon when moistened, rolled, squeezed, and extended between thumb and forefinger.</v>
      </c>
      <c r="D19" s="84">
        <f>F!D82</f>
        <v>0</v>
      </c>
      <c r="E19" s="311">
        <v>2</v>
      </c>
      <c r="F19" s="311">
        <f>D19*E19</f>
        <v>0</v>
      </c>
      <c r="G19" s="312"/>
      <c r="H19" s="1712"/>
      <c r="I19" s="1671"/>
    </row>
    <row r="20" spans="1:9" ht="30" customHeight="1" thickBot="1" x14ac:dyDescent="0.25">
      <c r="A20" s="1721" t="str">
        <f>F!A153</f>
        <v>F29</v>
      </c>
      <c r="B20" s="1669" t="str">
        <f>F!B153</f>
        <v>Predominant Depth Class</v>
      </c>
      <c r="C20" s="55" t="str">
        <f>F!C153</f>
        <v>During most of the time when surface water is present during the growing season, its depth, averaged over the entire inundated part of the AA, is:</v>
      </c>
      <c r="D20" s="308"/>
      <c r="E20" s="329"/>
      <c r="F20" s="309"/>
      <c r="G20" s="327">
        <f>IF((AllSat1&gt;0),"",MAX(F21:F25)/MAX(E21:E25))</f>
        <v>0</v>
      </c>
      <c r="H20" s="1693" t="s">
        <v>1803</v>
      </c>
      <c r="I20" s="1669" t="s">
        <v>323</v>
      </c>
    </row>
    <row r="21" spans="1:9" ht="15" customHeight="1" x14ac:dyDescent="0.2">
      <c r="A21" s="1703"/>
      <c r="B21" s="1670"/>
      <c r="C21" s="335" t="str">
        <f>F!C154</f>
        <v>&lt;10 cm deep (but &gt;0).</v>
      </c>
      <c r="D21" s="183">
        <f>F!D154</f>
        <v>0</v>
      </c>
      <c r="E21" s="298">
        <v>0</v>
      </c>
      <c r="F21" s="305">
        <f>D21*E21</f>
        <v>0</v>
      </c>
      <c r="G21" s="306"/>
      <c r="H21" s="1696"/>
      <c r="I21" s="1670"/>
    </row>
    <row r="22" spans="1:9" ht="15" customHeight="1" x14ac:dyDescent="0.2">
      <c r="A22" s="1703"/>
      <c r="B22" s="1670"/>
      <c r="C22" s="182" t="str">
        <f>F!C155</f>
        <v>10 - 50 cm deep.</v>
      </c>
      <c r="D22" s="128">
        <f>F!D155</f>
        <v>0</v>
      </c>
      <c r="E22" s="298">
        <v>1</v>
      </c>
      <c r="F22" s="305">
        <f>D22*E22</f>
        <v>0</v>
      </c>
      <c r="G22" s="300"/>
      <c r="H22" s="1696"/>
      <c r="I22" s="1670"/>
    </row>
    <row r="23" spans="1:9" ht="15" customHeight="1" x14ac:dyDescent="0.2">
      <c r="A23" s="1703"/>
      <c r="B23" s="1670"/>
      <c r="C23" s="182" t="str">
        <f>F!C156</f>
        <v>0.5 - 1 m deep.</v>
      </c>
      <c r="D23" s="128">
        <f>F!D156</f>
        <v>0</v>
      </c>
      <c r="E23" s="298">
        <v>2</v>
      </c>
      <c r="F23" s="305">
        <f>D23*E23</f>
        <v>0</v>
      </c>
      <c r="G23" s="300"/>
      <c r="H23" s="1696"/>
      <c r="I23" s="1670"/>
    </row>
    <row r="24" spans="1:9" ht="15" customHeight="1" x14ac:dyDescent="0.2">
      <c r="A24" s="1703"/>
      <c r="B24" s="1670"/>
      <c r="C24" s="182" t="str">
        <f>F!C157</f>
        <v>1 - 2 m deep.</v>
      </c>
      <c r="D24" s="128">
        <f>F!D157</f>
        <v>0</v>
      </c>
      <c r="E24" s="298">
        <v>3</v>
      </c>
      <c r="F24" s="305">
        <f>D24*E24</f>
        <v>0</v>
      </c>
      <c r="G24" s="300"/>
      <c r="H24" s="1696"/>
      <c r="I24" s="1670"/>
    </row>
    <row r="25" spans="1:9" ht="15" customHeight="1" thickBot="1" x14ac:dyDescent="0.25">
      <c r="A25" s="1722"/>
      <c r="B25" s="1671"/>
      <c r="C25" s="242" t="str">
        <f>F!C158</f>
        <v>&gt;2 m deep. True for many fringe wetlands.</v>
      </c>
      <c r="D25" s="84">
        <f>F!D158</f>
        <v>0</v>
      </c>
      <c r="E25" s="330">
        <v>4</v>
      </c>
      <c r="F25" s="311">
        <f>D25*E25</f>
        <v>0</v>
      </c>
      <c r="G25" s="312"/>
      <c r="H25" s="1712"/>
      <c r="I25" s="1671"/>
    </row>
    <row r="26" spans="1:9" ht="60" customHeight="1" thickBot="1" x14ac:dyDescent="0.25">
      <c r="A26" s="1703" t="str">
        <f>F!A206</f>
        <v>F42</v>
      </c>
      <c r="B26" s="1670" t="str">
        <f>F!B206</f>
        <v>Channel Connection &amp; Outflow Duration</v>
      </c>
      <c r="C26" s="245" t="str">
        <f>F!C206</f>
        <v>The most persistent surface water connection (outlet channel or pipe, ditch, or overbank water exchange) between the AA and a downslope stream network is: [Note: If the AA represents only part of a wetland, answer this according to whichever is the least permanent surface connection: the one between the AA and the rest of the wetland, or the surface connection between the wetland and the downslope stream network.]</v>
      </c>
      <c r="D26" s="296"/>
      <c r="E26" s="295"/>
      <c r="F26" s="303"/>
      <c r="G26" s="331">
        <f>MAX(F27:F31)/MAX(E27:E31)</f>
        <v>0</v>
      </c>
      <c r="H26" s="1696" t="s">
        <v>578</v>
      </c>
      <c r="I26" s="1669" t="s">
        <v>326</v>
      </c>
    </row>
    <row r="27" spans="1:9" ht="15" customHeight="1" x14ac:dyDescent="0.2">
      <c r="A27" s="1703"/>
      <c r="B27" s="1670"/>
      <c r="C27" s="14" t="str">
        <f>F!C207</f>
        <v>Persistent (surface water flows out for &gt;9 months/year).</v>
      </c>
      <c r="D27" s="129">
        <f>F!D207</f>
        <v>0</v>
      </c>
      <c r="E27" s="305">
        <v>6</v>
      </c>
      <c r="F27" s="305">
        <f>D27*E27</f>
        <v>0</v>
      </c>
      <c r="G27" s="306"/>
      <c r="H27" s="1696"/>
      <c r="I27" s="1670"/>
    </row>
    <row r="28" spans="1:9" ht="15" customHeight="1" x14ac:dyDescent="0.2">
      <c r="A28" s="1703"/>
      <c r="B28" s="1670"/>
      <c r="C28" s="4" t="str">
        <f>F!C208</f>
        <v>Seasonal (surface water flows out for 14 days to 9 months/year, not necessarily consecutive).</v>
      </c>
      <c r="D28" s="33">
        <f>F!D208</f>
        <v>0</v>
      </c>
      <c r="E28" s="305">
        <v>3</v>
      </c>
      <c r="F28" s="305">
        <f>D28*E28</f>
        <v>0</v>
      </c>
      <c r="G28" s="300"/>
      <c r="H28" s="1696"/>
      <c r="I28" s="1670"/>
    </row>
    <row r="29" spans="1:9" ht="15" customHeight="1" x14ac:dyDescent="0.2">
      <c r="A29" s="1703"/>
      <c r="B29" s="1670"/>
      <c r="C29" s="4" t="str">
        <f>F!C209</f>
        <v>Temporary (surface water flows out for &lt;14 days, not necessarily consecutive).</v>
      </c>
      <c r="D29" s="33">
        <f>F!D209</f>
        <v>0</v>
      </c>
      <c r="E29" s="305">
        <v>2</v>
      </c>
      <c r="F29" s="305">
        <f>D29*E29</f>
        <v>0</v>
      </c>
      <c r="G29" s="300"/>
      <c r="H29" s="1696"/>
      <c r="I29" s="1670"/>
    </row>
    <row r="30" spans="1:9" ht="27" customHeight="1" x14ac:dyDescent="0.2">
      <c r="A30" s="1703"/>
      <c r="B30" s="1670"/>
      <c r="C30" s="4" t="str">
        <f>F!C210</f>
        <v>None -- but maps show a stream network downslope from the AA and within a distance that is less than the AA's length. SKIP to F47 (pH Measurement).</v>
      </c>
      <c r="D30" s="33">
        <f>F!D210</f>
        <v>0</v>
      </c>
      <c r="E30" s="305">
        <v>1</v>
      </c>
      <c r="F30" s="305">
        <f>D30*E30</f>
        <v>0</v>
      </c>
      <c r="G30" s="301"/>
      <c r="H30" s="1696"/>
      <c r="I30" s="1670"/>
    </row>
    <row r="31" spans="1:9" ht="27" customHeight="1" thickBot="1" x14ac:dyDescent="0.25">
      <c r="A31" s="1722"/>
      <c r="B31" s="1671"/>
      <c r="C31" s="85" t="str">
        <f>F!C211</f>
        <v>No surface water flows out of the wetland except possibly during extreme events (&lt;once per 10 years). Or, water flows only into a wetland, ditch, or lake that lacks an outlet. SKIP to F47 (pH Measurement).</v>
      </c>
      <c r="D31" s="84">
        <f>F!D211</f>
        <v>0</v>
      </c>
      <c r="E31" s="311">
        <v>0</v>
      </c>
      <c r="F31" s="311">
        <f>D31*E31</f>
        <v>0</v>
      </c>
      <c r="G31" s="312"/>
      <c r="H31" s="1712"/>
      <c r="I31" s="1671"/>
    </row>
    <row r="32" spans="1:9" ht="21" customHeight="1" thickBot="1" x14ac:dyDescent="0.25">
      <c r="A32" s="1853" t="str">
        <f>F!A237</f>
        <v>F50</v>
      </c>
      <c r="B32" s="1670" t="str">
        <f>F!B237</f>
        <v>Groundwater Strength of Evidence</v>
      </c>
      <c r="C32" s="184" t="str">
        <f>F!C237</f>
        <v>Select first applicable choice:</v>
      </c>
      <c r="D32" s="308"/>
      <c r="E32" s="296"/>
      <c r="F32" s="303"/>
      <c r="G32" s="331">
        <f>MAX(F33:F35)/MAX(E33:E35)</f>
        <v>0</v>
      </c>
      <c r="H32" s="1696" t="s">
        <v>1893</v>
      </c>
      <c r="I32" s="1669" t="s">
        <v>325</v>
      </c>
    </row>
    <row r="33" spans="1:11" ht="42" customHeight="1" x14ac:dyDescent="0.2">
      <c r="A33" s="1853"/>
      <c r="B33" s="1670"/>
      <c r="C33" s="243"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33" s="129">
        <f>F!D238</f>
        <v>0</v>
      </c>
      <c r="E33" s="305">
        <v>3</v>
      </c>
      <c r="F33" s="305">
        <f>D33*E33</f>
        <v>0</v>
      </c>
      <c r="G33" s="306"/>
      <c r="H33" s="1696"/>
      <c r="I33" s="1670"/>
    </row>
    <row r="34" spans="1:11" ht="27" customHeight="1" x14ac:dyDescent="0.2">
      <c r="A34" s="1853"/>
      <c r="B34" s="1670"/>
      <c r="C34" s="244" t="str">
        <f>F!C239</f>
        <v>Most of the AA has a slope of &gt;5%, or is very close to the base of a natural slope longer than 100 and much steeper than the slope of the AA,  AND the pH of surface water, if known, is &gt;5.5.</v>
      </c>
      <c r="D34" s="33">
        <f>F!D239</f>
        <v>0</v>
      </c>
      <c r="E34" s="305">
        <v>2</v>
      </c>
      <c r="F34" s="305">
        <f>D34*E34</f>
        <v>0</v>
      </c>
      <c r="G34" s="300"/>
      <c r="H34" s="1696"/>
      <c r="I34" s="1670"/>
    </row>
    <row r="35" spans="1:11" ht="27" customHeight="1" thickBot="1" x14ac:dyDescent="0.25">
      <c r="A35" s="1853"/>
      <c r="B35" s="1670"/>
      <c r="C35" s="182" t="str">
        <f>F!C240</f>
        <v>Neither of above is true, although some groundwater may discharge to or flow through the AA. Or groundwater influx is unknown.</v>
      </c>
      <c r="D35" s="128">
        <f>F!D240</f>
        <v>0</v>
      </c>
      <c r="E35" s="307">
        <v>0</v>
      </c>
      <c r="F35" s="307">
        <f>D35*E35</f>
        <v>0</v>
      </c>
      <c r="G35" s="301"/>
      <c r="H35" s="1696"/>
      <c r="I35" s="1671"/>
    </row>
    <row r="36" spans="1:11" s="56" customFormat="1" ht="36" customHeight="1" thickBot="1" x14ac:dyDescent="0.25">
      <c r="A36" s="849" t="s">
        <v>88</v>
      </c>
      <c r="B36" s="850" t="s">
        <v>1901</v>
      </c>
      <c r="C36" s="851" t="s">
        <v>1164</v>
      </c>
      <c r="D36" s="852" t="s">
        <v>45</v>
      </c>
      <c r="E36" s="853" t="s">
        <v>1188</v>
      </c>
      <c r="F36" s="854" t="s">
        <v>1189</v>
      </c>
      <c r="G36" s="855" t="s">
        <v>2576</v>
      </c>
      <c r="H36" s="856" t="s">
        <v>1117</v>
      </c>
      <c r="I36" s="856" t="s">
        <v>2427</v>
      </c>
    </row>
    <row r="37" spans="1:11" ht="60" customHeight="1" thickBot="1" x14ac:dyDescent="0.25">
      <c r="A37" s="3" t="str">
        <f>OF!A97</f>
        <v>OF18</v>
      </c>
      <c r="B37" s="435" t="str">
        <f>OF!B97</f>
        <v>Relative Elevation in Watershed</v>
      </c>
      <c r="C37" s="36" t="str">
        <f>OF!C97</f>
        <v>In Google Earth, enable the Terrain layer (lower left menu) and open the NB_Watersheds KMZ file that accompanies this calculator. Then determine the AA's approximate elevation (bottom right, NOT the "eye alt").  Then move cursor around to determine the watershed's maximum and minimum elevation.  Divide the AA's elevation by the (max-min).</v>
      </c>
      <c r="D37" s="329"/>
      <c r="E37" s="308"/>
      <c r="F37" s="309"/>
      <c r="G37" s="1400">
        <f>ShedPos</f>
        <v>0</v>
      </c>
      <c r="H37" s="120" t="s">
        <v>1533</v>
      </c>
      <c r="I37" s="120" t="s">
        <v>2041</v>
      </c>
      <c r="K37" s="2"/>
    </row>
    <row r="38" spans="1:11" ht="30" customHeight="1" thickBot="1" x14ac:dyDescent="0.25">
      <c r="A38" s="1851"/>
      <c r="B38" s="1669" t="s">
        <v>487</v>
      </c>
      <c r="C38" s="622" t="s">
        <v>488</v>
      </c>
      <c r="D38" s="322"/>
      <c r="E38" s="322"/>
      <c r="F38" s="317"/>
      <c r="G38" s="318">
        <f>INV!G155/10</f>
        <v>8.3333333333333329E-2</v>
      </c>
      <c r="H38" s="3" t="s">
        <v>490</v>
      </c>
      <c r="I38" s="3" t="s">
        <v>334</v>
      </c>
    </row>
    <row r="39" spans="1:11" ht="30" customHeight="1" thickBot="1" x14ac:dyDescent="0.25">
      <c r="A39" s="1851"/>
      <c r="B39" s="1670"/>
      <c r="C39" s="622" t="s">
        <v>84</v>
      </c>
      <c r="D39" s="322"/>
      <c r="E39" s="322"/>
      <c r="F39" s="317"/>
      <c r="G39" s="318">
        <f>FA!G151/10</f>
        <v>0</v>
      </c>
      <c r="H39" s="3" t="s">
        <v>490</v>
      </c>
      <c r="I39" s="3" t="s">
        <v>335</v>
      </c>
    </row>
    <row r="40" spans="1:11" ht="30" customHeight="1" thickBot="1" x14ac:dyDescent="0.25">
      <c r="A40" s="1852"/>
      <c r="B40" s="1671"/>
      <c r="C40" s="622" t="s">
        <v>85</v>
      </c>
      <c r="D40" s="322"/>
      <c r="E40" s="322"/>
      <c r="F40" s="322"/>
      <c r="G40" s="318">
        <f>FR!G134/10</f>
        <v>0</v>
      </c>
      <c r="H40" s="3" t="s">
        <v>490</v>
      </c>
      <c r="I40" s="3" t="s">
        <v>2848</v>
      </c>
    </row>
    <row r="41" spans="1:11" ht="21" customHeight="1" thickBot="1" x14ac:dyDescent="0.25">
      <c r="A41" s="1859"/>
      <c r="B41" s="1859"/>
      <c r="C41" s="1859"/>
      <c r="D41" s="1859"/>
      <c r="E41" s="1859"/>
      <c r="F41" s="1859"/>
      <c r="G41" s="1859"/>
      <c r="H41" s="1859"/>
    </row>
    <row r="42" spans="1:11" ht="21" customHeight="1" x14ac:dyDescent="0.2">
      <c r="A42" s="1841"/>
      <c r="B42" s="1841"/>
      <c r="C42" s="1841"/>
      <c r="D42" s="1846" t="s">
        <v>120</v>
      </c>
      <c r="E42" s="1847"/>
      <c r="F42" s="1847"/>
      <c r="G42" s="916">
        <f>OutDur2_</f>
        <v>0</v>
      </c>
      <c r="H42" s="1029" t="s">
        <v>321</v>
      </c>
      <c r="I42" s="1030" t="s">
        <v>2100</v>
      </c>
    </row>
    <row r="43" spans="1:11" ht="21" customHeight="1" x14ac:dyDescent="0.2">
      <c r="A43" s="1841"/>
      <c r="B43" s="1841"/>
      <c r="C43" s="1841"/>
      <c r="D43" s="1848" t="s">
        <v>2417</v>
      </c>
      <c r="E43" s="1849"/>
      <c r="F43" s="1850"/>
      <c r="G43" s="917">
        <f>AVERAGE(Aspect2_,Depth2_,Soil2_)</f>
        <v>0</v>
      </c>
      <c r="H43" s="1016" t="s">
        <v>2095</v>
      </c>
      <c r="I43" s="1031" t="s">
        <v>2101</v>
      </c>
    </row>
    <row r="44" spans="1:11" ht="21" customHeight="1" thickBot="1" x14ac:dyDescent="0.25">
      <c r="A44" s="1841"/>
      <c r="B44" s="1841"/>
      <c r="C44" s="1841"/>
      <c r="D44" s="1844" t="s">
        <v>320</v>
      </c>
      <c r="E44" s="1845"/>
      <c r="F44" s="1845"/>
      <c r="G44" s="918">
        <f>AVERAGE(Wettype2,Groundw2_)</f>
        <v>0</v>
      </c>
      <c r="H44" s="1035" t="s">
        <v>2094</v>
      </c>
      <c r="I44" s="1033" t="s">
        <v>2102</v>
      </c>
    </row>
    <row r="45" spans="1:11" ht="21" customHeight="1" thickBot="1" x14ac:dyDescent="0.25">
      <c r="A45" s="1841"/>
      <c r="B45" s="1841"/>
      <c r="C45" s="1841"/>
      <c r="D45" s="1841"/>
      <c r="E45" s="1841"/>
      <c r="F45" s="1841"/>
      <c r="G45" s="1841"/>
      <c r="H45" s="1841"/>
    </row>
    <row r="46" spans="1:11" ht="30" customHeight="1" thickBot="1" x14ac:dyDescent="0.25">
      <c r="A46" s="1842"/>
      <c r="B46" s="1843"/>
      <c r="C46" s="1838" t="s">
        <v>486</v>
      </c>
      <c r="D46" s="1839"/>
      <c r="E46" s="1840"/>
      <c r="F46" s="859" t="s">
        <v>52</v>
      </c>
      <c r="G46" s="857">
        <f>10*ConnectivLF*((ClimateLF + 2*GroundwDisch)/ 3)</f>
        <v>0</v>
      </c>
      <c r="H46" s="1807" t="s">
        <v>2418</v>
      </c>
      <c r="I46" s="1808"/>
    </row>
    <row r="47" spans="1:11" ht="30" customHeight="1" thickBot="1" x14ac:dyDescent="0.25">
      <c r="A47" s="1842"/>
      <c r="B47" s="1843"/>
      <c r="C47" s="1838" t="s">
        <v>1904</v>
      </c>
      <c r="D47" s="1839"/>
      <c r="E47" s="1840"/>
      <c r="F47" s="1046" t="s">
        <v>2223</v>
      </c>
      <c r="G47" s="858">
        <f>10*(AVERAGE(ShedPos2,AVERAGE(InvScore2_,AnadScore2_,ResFishScore2_)))</f>
        <v>0.1388888888888889</v>
      </c>
      <c r="H47" s="1807" t="s">
        <v>2096</v>
      </c>
      <c r="I47" s="1808"/>
    </row>
    <row r="48" spans="1:11" ht="21" customHeight="1" thickBot="1" x14ac:dyDescent="0.25">
      <c r="A48" s="2"/>
      <c r="B48" s="2"/>
      <c r="D48" s="2"/>
      <c r="E48" s="2"/>
      <c r="F48" s="2"/>
      <c r="G48" s="2"/>
    </row>
    <row r="49" spans="1:9" ht="21" customHeight="1" thickBot="1" x14ac:dyDescent="0.25">
      <c r="A49" s="2"/>
      <c r="B49" s="2"/>
      <c r="D49" s="2"/>
      <c r="E49" s="2"/>
      <c r="F49" s="2"/>
      <c r="G49" s="2"/>
      <c r="H49" s="1854" t="s">
        <v>669</v>
      </c>
      <c r="I49" s="1855"/>
    </row>
    <row r="50" spans="1:9" ht="27" customHeight="1" x14ac:dyDescent="0.2">
      <c r="A50" s="2"/>
      <c r="B50" s="2"/>
      <c r="D50" s="2"/>
      <c r="E50" s="2"/>
      <c r="F50" s="2"/>
      <c r="G50" s="2"/>
      <c r="H50" s="1721" t="s">
        <v>1498</v>
      </c>
      <c r="I50" s="1856"/>
    </row>
    <row r="51" spans="1:9" ht="27" customHeight="1" x14ac:dyDescent="0.2">
      <c r="A51" s="2"/>
      <c r="B51" s="2"/>
      <c r="D51" s="2"/>
      <c r="E51" s="2"/>
      <c r="F51" s="2"/>
      <c r="G51" s="2"/>
      <c r="H51" s="1792" t="s">
        <v>2038</v>
      </c>
      <c r="I51" s="1793"/>
    </row>
    <row r="52" spans="1:9" ht="42" customHeight="1" x14ac:dyDescent="0.2">
      <c r="A52" s="2"/>
      <c r="B52" s="2"/>
      <c r="D52" s="2"/>
      <c r="E52" s="2"/>
      <c r="F52" s="2"/>
      <c r="G52" s="2"/>
      <c r="H52" s="1792" t="s">
        <v>970</v>
      </c>
      <c r="I52" s="1793"/>
    </row>
    <row r="53" spans="1:9" ht="42" customHeight="1" x14ac:dyDescent="0.2">
      <c r="A53" s="2"/>
      <c r="B53" s="2"/>
      <c r="D53" s="2"/>
      <c r="E53" s="2"/>
      <c r="F53" s="2"/>
      <c r="G53" s="2"/>
      <c r="H53" s="1792" t="s">
        <v>677</v>
      </c>
      <c r="I53" s="1793"/>
    </row>
    <row r="54" spans="1:9" ht="42" customHeight="1" x14ac:dyDescent="0.2">
      <c r="A54" s="2"/>
      <c r="B54" s="2"/>
      <c r="D54" s="2"/>
      <c r="E54" s="2"/>
      <c r="F54" s="2"/>
      <c r="G54" s="2"/>
      <c r="H54" s="1792" t="s">
        <v>1735</v>
      </c>
      <c r="I54" s="1793"/>
    </row>
    <row r="55" spans="1:9" ht="27" customHeight="1" x14ac:dyDescent="0.2">
      <c r="A55" s="2"/>
      <c r="B55" s="2"/>
      <c r="D55" s="2"/>
      <c r="E55" s="2"/>
      <c r="F55" s="2"/>
      <c r="G55" s="2"/>
      <c r="H55" s="1796" t="s">
        <v>1360</v>
      </c>
      <c r="I55" s="1797"/>
    </row>
    <row r="56" spans="1:9" ht="27" customHeight="1" x14ac:dyDescent="0.2">
      <c r="A56" s="2"/>
      <c r="B56" s="2"/>
      <c r="D56" s="2"/>
      <c r="E56" s="2"/>
      <c r="F56" s="2"/>
      <c r="G56" s="2"/>
      <c r="H56" s="1796" t="s">
        <v>1415</v>
      </c>
      <c r="I56" s="1797"/>
    </row>
    <row r="57" spans="1:9" ht="27" customHeight="1" x14ac:dyDescent="0.2">
      <c r="A57" s="2"/>
      <c r="B57" s="2"/>
      <c r="D57" s="2"/>
      <c r="E57" s="2"/>
      <c r="F57" s="2"/>
      <c r="G57" s="2"/>
      <c r="H57" s="1792" t="s">
        <v>678</v>
      </c>
      <c r="I57" s="1793"/>
    </row>
    <row r="58" spans="1:9" ht="27" customHeight="1" x14ac:dyDescent="0.2">
      <c r="A58" s="2"/>
      <c r="B58" s="2"/>
      <c r="D58" s="2"/>
      <c r="E58" s="2"/>
      <c r="F58" s="2"/>
      <c r="G58" s="2"/>
      <c r="H58" s="1792" t="s">
        <v>1165</v>
      </c>
      <c r="I58" s="1793"/>
    </row>
    <row r="59" spans="1:9" ht="27" customHeight="1" x14ac:dyDescent="0.2">
      <c r="A59" s="2"/>
      <c r="B59" s="2"/>
      <c r="D59" s="2"/>
      <c r="E59" s="2"/>
      <c r="F59" s="2"/>
      <c r="G59" s="2"/>
      <c r="H59" s="1792" t="s">
        <v>2039</v>
      </c>
      <c r="I59" s="1793"/>
    </row>
    <row r="60" spans="1:9" ht="42" customHeight="1" thickBot="1" x14ac:dyDescent="0.25">
      <c r="H60" s="1794" t="s">
        <v>1707</v>
      </c>
      <c r="I60" s="1795"/>
    </row>
  </sheetData>
  <sheetProtection algorithmName="SHA-512" hashValue="uf6T7QabU5S1REgKzPBCYDRhxLt6h9kBv6HDQIeC48toj+ySiG7qw4lwQGS/HrAIVRVvsVHUtzoPHQjYwQ7Cww==" saltValue="iI05PUjaDxkgizb8asFxsw==" spinCount="100000" sheet="1" formatCells="0" formatColumns="0" formatRows="0"/>
  <mergeCells count="51">
    <mergeCell ref="E1:I1"/>
    <mergeCell ref="I32:I35"/>
    <mergeCell ref="H55:I55"/>
    <mergeCell ref="H56:I56"/>
    <mergeCell ref="H46:I46"/>
    <mergeCell ref="I3:I6"/>
    <mergeCell ref="I7:I13"/>
    <mergeCell ref="I14:I19"/>
    <mergeCell ref="I20:I25"/>
    <mergeCell ref="I26:I31"/>
    <mergeCell ref="H3:H6"/>
    <mergeCell ref="H32:H35"/>
    <mergeCell ref="H20:H25"/>
    <mergeCell ref="H14:H19"/>
    <mergeCell ref="A41:H41"/>
    <mergeCell ref="A1:B1"/>
    <mergeCell ref="H60:I60"/>
    <mergeCell ref="H49:I49"/>
    <mergeCell ref="H50:I50"/>
    <mergeCell ref="H52:I52"/>
    <mergeCell ref="H53:I53"/>
    <mergeCell ref="H54:I54"/>
    <mergeCell ref="H51:I51"/>
    <mergeCell ref="H59:I59"/>
    <mergeCell ref="H57:I57"/>
    <mergeCell ref="H58:I58"/>
    <mergeCell ref="A3:A6"/>
    <mergeCell ref="A20:A25"/>
    <mergeCell ref="B7:B13"/>
    <mergeCell ref="A14:A19"/>
    <mergeCell ref="A32:A35"/>
    <mergeCell ref="A26:A31"/>
    <mergeCell ref="B20:B25"/>
    <mergeCell ref="B3:B6"/>
    <mergeCell ref="A7:A13"/>
    <mergeCell ref="A38:A40"/>
    <mergeCell ref="H7:H13"/>
    <mergeCell ref="H26:H31"/>
    <mergeCell ref="B26:B31"/>
    <mergeCell ref="B14:B19"/>
    <mergeCell ref="B38:B40"/>
    <mergeCell ref="B32:B35"/>
    <mergeCell ref="C46:E46"/>
    <mergeCell ref="C47:E47"/>
    <mergeCell ref="A45:H45"/>
    <mergeCell ref="A42:C44"/>
    <mergeCell ref="A46:B47"/>
    <mergeCell ref="H47:I47"/>
    <mergeCell ref="D44:F44"/>
    <mergeCell ref="D42:F42"/>
    <mergeCell ref="D43:F43"/>
  </mergeCells>
  <phoneticPr fontId="32"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K78"/>
  <sheetViews>
    <sheetView tabSelected="1" topLeftCell="A58" zoomScaleNormal="100" workbookViewId="0">
      <selection activeCell="L61" sqref="L61"/>
    </sheetView>
  </sheetViews>
  <sheetFormatPr defaultColWidth="9.33203125" defaultRowHeight="16.5" x14ac:dyDescent="0.2"/>
  <cols>
    <col min="1" max="1" width="5.83203125" style="10" customWidth="1"/>
    <col min="2" max="2" width="18.83203125" style="10" customWidth="1"/>
    <col min="3" max="3" width="75.83203125" style="2" customWidth="1"/>
    <col min="4" max="6" width="7.83203125" style="75" customWidth="1"/>
    <col min="7" max="7" width="9.1640625" style="73" customWidth="1"/>
    <col min="8" max="8" width="64.83203125" style="2" customWidth="1"/>
    <col min="9" max="9" width="9.83203125" style="5" customWidth="1"/>
    <col min="10" max="10" width="9.33203125" style="5"/>
    <col min="11" max="11" width="9.33203125" style="58"/>
    <col min="12" max="16384" width="9.33203125" style="5"/>
  </cols>
  <sheetData>
    <row r="1" spans="1:11" s="1409" customFormat="1" ht="48" customHeight="1" thickBot="1" x14ac:dyDescent="0.25">
      <c r="A1" s="1868" t="s">
        <v>2849</v>
      </c>
      <c r="B1" s="1869"/>
      <c r="C1" s="1407" t="s">
        <v>1079</v>
      </c>
      <c r="D1" s="1399" t="s">
        <v>1059</v>
      </c>
      <c r="E1" s="1875"/>
      <c r="F1" s="1876"/>
      <c r="G1" s="1876"/>
      <c r="H1" s="1876"/>
      <c r="I1" s="1876"/>
      <c r="K1" s="246"/>
    </row>
    <row r="2" spans="1:11" s="246" customFormat="1" ht="36" customHeight="1" thickBot="1" x14ac:dyDescent="0.25">
      <c r="A2" s="861" t="s">
        <v>88</v>
      </c>
      <c r="B2" s="833" t="s">
        <v>1424</v>
      </c>
      <c r="C2" s="862" t="s">
        <v>1164</v>
      </c>
      <c r="D2" s="844" t="s">
        <v>45</v>
      </c>
      <c r="E2" s="845" t="s">
        <v>1188</v>
      </c>
      <c r="F2" s="846" t="s">
        <v>1189</v>
      </c>
      <c r="G2" s="847" t="s">
        <v>2558</v>
      </c>
      <c r="H2" s="861" t="s">
        <v>1117</v>
      </c>
      <c r="I2" s="895" t="s">
        <v>2427</v>
      </c>
    </row>
    <row r="3" spans="1:11" ht="21" customHeight="1" thickBot="1" x14ac:dyDescent="0.25">
      <c r="A3" s="1721" t="str">
        <f>OF!A122</f>
        <v>OF25</v>
      </c>
      <c r="B3" s="1669" t="str">
        <f>OF!B122</f>
        <v>Aspect</v>
      </c>
      <c r="C3" s="240" t="str">
        <f>OF!C122</f>
        <v>The overland flow direction of most surface water (in streams, rivers, or runoff) that enters the AA is:</v>
      </c>
      <c r="D3" s="290"/>
      <c r="E3" s="290"/>
      <c r="F3" s="209"/>
      <c r="G3" s="291">
        <f>IF((NoCA=1),"", MAX(F4:F6)/MAX(E4:E6))</f>
        <v>0</v>
      </c>
      <c r="H3" s="1669" t="s">
        <v>972</v>
      </c>
      <c r="I3" s="1865" t="s">
        <v>340</v>
      </c>
    </row>
    <row r="4" spans="1:11" ht="15" customHeight="1" x14ac:dyDescent="0.2">
      <c r="A4" s="1703"/>
      <c r="B4" s="1670"/>
      <c r="C4" s="1324" t="str">
        <f>OF!C123</f>
        <v>Northward (N, NE). north-facing contributing area.</v>
      </c>
      <c r="D4" s="129">
        <f>OF!D123</f>
        <v>0</v>
      </c>
      <c r="E4" s="211">
        <v>2</v>
      </c>
      <c r="F4" s="211">
        <f>D4*E4</f>
        <v>0</v>
      </c>
      <c r="G4" s="292"/>
      <c r="H4" s="1670"/>
      <c r="I4" s="1866"/>
    </row>
    <row r="5" spans="1:11" ht="15" customHeight="1" x14ac:dyDescent="0.2">
      <c r="A5" s="1703"/>
      <c r="B5" s="1670"/>
      <c r="C5" s="1058" t="str">
        <f>OF!C124</f>
        <v>Southward (S, SW). south-facing contributing area.</v>
      </c>
      <c r="D5" s="33">
        <f>OF!D124</f>
        <v>0</v>
      </c>
      <c r="E5" s="211">
        <v>0</v>
      </c>
      <c r="F5" s="211">
        <f>D5*E5</f>
        <v>0</v>
      </c>
      <c r="G5" s="293"/>
      <c r="H5" s="1670"/>
      <c r="I5" s="1866"/>
    </row>
    <row r="6" spans="1:11" ht="15" customHeight="1" thickBot="1" x14ac:dyDescent="0.25">
      <c r="A6" s="1722"/>
      <c r="B6" s="1671"/>
      <c r="C6" s="1061" t="str">
        <f>OF!C125</f>
        <v>Other (E, SE, W, NW), or no detectable uphill slope or input channel (flat).</v>
      </c>
      <c r="D6" s="84">
        <f>OF!D125</f>
        <v>0</v>
      </c>
      <c r="E6" s="215">
        <v>1</v>
      </c>
      <c r="F6" s="215">
        <f>D6*E6</f>
        <v>0</v>
      </c>
      <c r="G6" s="294"/>
      <c r="H6" s="1671"/>
      <c r="I6" s="1867"/>
    </row>
    <row r="7" spans="1:11" s="2" customFormat="1" ht="30" customHeight="1" thickBot="1" x14ac:dyDescent="0.25">
      <c r="A7" s="1721" t="str">
        <f>F!A121</f>
        <v>F24</v>
      </c>
      <c r="B7" s="1669" t="str">
        <f>F!B121</f>
        <v>% of AA Without Surface Water</v>
      </c>
      <c r="C7" s="240" t="str">
        <f>F!C121</f>
        <v>The percentage of the AA that never contains surface water during an average year (that is, except perhaps for a few hours after snowmelt or rainstorms), but which is still a wetland, is:</v>
      </c>
      <c r="D7" s="290"/>
      <c r="E7" s="329"/>
      <c r="F7" s="308"/>
      <c r="G7" s="291">
        <f>MAX(F8:F13)/MAX(E8:E13)</f>
        <v>0</v>
      </c>
      <c r="H7" s="1669" t="s">
        <v>663</v>
      </c>
      <c r="I7" s="1669" t="s">
        <v>662</v>
      </c>
      <c r="K7" s="56"/>
    </row>
    <row r="8" spans="1:11" s="2" customFormat="1" ht="15" customHeight="1" x14ac:dyDescent="0.2">
      <c r="A8" s="1703"/>
      <c r="B8" s="1670"/>
      <c r="C8" s="14" t="str">
        <f>F!C122</f>
        <v xml:space="preserve">&lt;1% . In other words, all or nearly all of the AA is covered by water permanently or at least seasonally.  </v>
      </c>
      <c r="D8" s="183">
        <f>F!D122</f>
        <v>0</v>
      </c>
      <c r="E8" s="298">
        <v>0</v>
      </c>
      <c r="F8" s="299">
        <f t="shared" ref="F8:F13" si="0">D8*E8</f>
        <v>0</v>
      </c>
      <c r="G8" s="300"/>
      <c r="H8" s="1670"/>
      <c r="I8" s="1670"/>
      <c r="K8" s="56"/>
    </row>
    <row r="9" spans="1:11" s="2" customFormat="1" ht="15" customHeight="1" x14ac:dyDescent="0.2">
      <c r="A9" s="1703"/>
      <c r="B9" s="1670"/>
      <c r="C9" s="4" t="str">
        <f>F!C123</f>
        <v>1-25% of the AA,  or &lt;1% but &gt;0.01 ha never contains surface water.</v>
      </c>
      <c r="D9" s="128">
        <f>F!D123</f>
        <v>0</v>
      </c>
      <c r="E9" s="298">
        <v>1</v>
      </c>
      <c r="F9" s="299">
        <f t="shared" si="0"/>
        <v>0</v>
      </c>
      <c r="G9" s="300"/>
      <c r="H9" s="1670"/>
      <c r="I9" s="1670"/>
      <c r="K9" s="56"/>
    </row>
    <row r="10" spans="1:11" s="2" customFormat="1" ht="15" customHeight="1" x14ac:dyDescent="0.2">
      <c r="A10" s="1703"/>
      <c r="B10" s="1670"/>
      <c r="C10" s="4" t="str">
        <f>F!C124</f>
        <v>25-50% of the AA never contains surface water.</v>
      </c>
      <c r="D10" s="128">
        <f>F!D124</f>
        <v>0</v>
      </c>
      <c r="E10" s="298">
        <v>2</v>
      </c>
      <c r="F10" s="299">
        <f t="shared" si="0"/>
        <v>0</v>
      </c>
      <c r="G10" s="300"/>
      <c r="H10" s="1670"/>
      <c r="I10" s="1670"/>
      <c r="K10" s="56"/>
    </row>
    <row r="11" spans="1:11" s="2" customFormat="1" ht="15" customHeight="1" x14ac:dyDescent="0.2">
      <c r="A11" s="1703"/>
      <c r="B11" s="1670"/>
      <c r="C11" s="4" t="str">
        <f>F!C125</f>
        <v>50-75% of the AA never contains surface water.</v>
      </c>
      <c r="D11" s="128">
        <f>F!D125</f>
        <v>0</v>
      </c>
      <c r="E11" s="298">
        <v>3</v>
      </c>
      <c r="F11" s="299">
        <f t="shared" si="0"/>
        <v>0</v>
      </c>
      <c r="G11" s="300"/>
      <c r="H11" s="1670"/>
      <c r="I11" s="1670"/>
      <c r="K11" s="56"/>
    </row>
    <row r="12" spans="1:11" s="2" customFormat="1" ht="27" customHeight="1" x14ac:dyDescent="0.2">
      <c r="A12" s="1703"/>
      <c r="B12" s="1670"/>
      <c r="C12" s="4" t="str">
        <f>F!C126</f>
        <v>75-99% of the AA never contains surface water, OR &gt;99% and there is at least one persistently ponded water body larger than 1 ha in the AA.</v>
      </c>
      <c r="D12" s="146">
        <f>F!D126</f>
        <v>0</v>
      </c>
      <c r="E12" s="298">
        <v>4</v>
      </c>
      <c r="F12" s="299">
        <f t="shared" si="0"/>
        <v>0</v>
      </c>
      <c r="G12" s="300"/>
      <c r="H12" s="1670"/>
      <c r="I12" s="1670"/>
      <c r="K12" s="56"/>
    </row>
    <row r="13" spans="1:11" s="2" customFormat="1" ht="27" customHeight="1" thickBot="1" x14ac:dyDescent="0.25">
      <c r="A13" s="1722"/>
      <c r="B13" s="1671"/>
      <c r="C13" s="85" t="str">
        <f>F!C127</f>
        <v>99-100%. AND there is no persistently ponded water body larger than 1 ha within the AA. Enter "1" and SKIP to F42 (Channel Connection).</v>
      </c>
      <c r="D13" s="147">
        <f>F!D127</f>
        <v>0</v>
      </c>
      <c r="E13" s="330">
        <v>5</v>
      </c>
      <c r="F13" s="316">
        <f t="shared" si="0"/>
        <v>0</v>
      </c>
      <c r="G13" s="312"/>
      <c r="H13" s="1671"/>
      <c r="I13" s="1671"/>
      <c r="K13" s="56"/>
    </row>
    <row r="14" spans="1:11" ht="30" customHeight="1" thickBot="1" x14ac:dyDescent="0.25">
      <c r="A14" s="1703" t="str">
        <f>F!A134</f>
        <v>F26</v>
      </c>
      <c r="B14" s="1670" t="str">
        <f>F!B134</f>
        <v>% of Summertime Water that Is Shaded</v>
      </c>
      <c r="C14" s="245" t="str">
        <f>F!C134</f>
        <v>At mid-day during the warmest time of year, the area of surface water within the AA that is shaded by vegetation and other features that are within the AA at that time is:</v>
      </c>
      <c r="D14" s="217"/>
      <c r="E14" s="217"/>
      <c r="F14" s="208"/>
      <c r="G14" s="297">
        <f>IF((AllSat1&gt;0),"",IF((NoPersis=1),"",(MAX(F15:F19)/MAX(E15:E19))))</f>
        <v>0</v>
      </c>
      <c r="H14" s="1696" t="s">
        <v>2248</v>
      </c>
      <c r="I14" s="1865" t="s">
        <v>337</v>
      </c>
    </row>
    <row r="15" spans="1:11" ht="15" customHeight="1" x14ac:dyDescent="0.2">
      <c r="A15" s="1703"/>
      <c r="B15" s="1670"/>
      <c r="C15" s="14" t="str">
        <f>F!C135</f>
        <v>&lt;5% of the water is shaded, or no surface water is present then.</v>
      </c>
      <c r="D15" s="129">
        <f>F!D135</f>
        <v>0</v>
      </c>
      <c r="E15" s="211">
        <v>0</v>
      </c>
      <c r="F15" s="211">
        <f>D15*E15</f>
        <v>0</v>
      </c>
      <c r="G15" s="292"/>
      <c r="H15" s="1696"/>
      <c r="I15" s="1866"/>
    </row>
    <row r="16" spans="1:11" ht="15" customHeight="1" x14ac:dyDescent="0.2">
      <c r="A16" s="1703"/>
      <c r="B16" s="1670"/>
      <c r="C16" s="4" t="str">
        <f>F!C136</f>
        <v>5-25% of the water is shaded.</v>
      </c>
      <c r="D16" s="33">
        <f>F!D136</f>
        <v>0</v>
      </c>
      <c r="E16" s="211">
        <v>1</v>
      </c>
      <c r="F16" s="211">
        <f>D16*E16</f>
        <v>0</v>
      </c>
      <c r="G16" s="293"/>
      <c r="H16" s="1696"/>
      <c r="I16" s="1866"/>
    </row>
    <row r="17" spans="1:9" ht="15" customHeight="1" x14ac:dyDescent="0.2">
      <c r="A17" s="1703"/>
      <c r="B17" s="1670"/>
      <c r="C17" s="4" t="str">
        <f>F!C137</f>
        <v>25-50% of the water is shaded.</v>
      </c>
      <c r="D17" s="33">
        <f>F!D137</f>
        <v>0</v>
      </c>
      <c r="E17" s="211">
        <v>2</v>
      </c>
      <c r="F17" s="211">
        <f>D17*E17</f>
        <v>0</v>
      </c>
      <c r="G17" s="293"/>
      <c r="H17" s="1696"/>
      <c r="I17" s="1866"/>
    </row>
    <row r="18" spans="1:9" ht="15" customHeight="1" x14ac:dyDescent="0.2">
      <c r="A18" s="1703"/>
      <c r="B18" s="1670"/>
      <c r="C18" s="4" t="str">
        <f>F!C138</f>
        <v>50-75% of the water is shaded.</v>
      </c>
      <c r="D18" s="33">
        <f>F!D138</f>
        <v>0</v>
      </c>
      <c r="E18" s="211">
        <v>3</v>
      </c>
      <c r="F18" s="211">
        <f>D18*E18</f>
        <v>0</v>
      </c>
      <c r="G18" s="293"/>
      <c r="H18" s="1696"/>
      <c r="I18" s="1866"/>
    </row>
    <row r="19" spans="1:9" ht="15.6" customHeight="1" thickBot="1" x14ac:dyDescent="0.25">
      <c r="A19" s="1722"/>
      <c r="B19" s="1671"/>
      <c r="C19" s="85" t="str">
        <f>F!C139</f>
        <v>&gt;75% of the water is shaded.</v>
      </c>
      <c r="D19" s="84">
        <f>F!D139</f>
        <v>0</v>
      </c>
      <c r="E19" s="215">
        <v>4</v>
      </c>
      <c r="F19" s="215">
        <f>D19*E19</f>
        <v>0</v>
      </c>
      <c r="G19" s="294"/>
      <c r="H19" s="1712"/>
      <c r="I19" s="1867"/>
    </row>
    <row r="20" spans="1:9" ht="30" customHeight="1" thickBot="1" x14ac:dyDescent="0.25">
      <c r="A20" s="1853" t="str">
        <f>F!A153</f>
        <v>F29</v>
      </c>
      <c r="B20" s="1670" t="str">
        <f>F!B153</f>
        <v>Predominant Depth Class</v>
      </c>
      <c r="C20" s="245" t="str">
        <f>F!C153</f>
        <v>During most of the time when surface water is present during the growing season, its depth, averaged over the entire inundated part of the AA, is:</v>
      </c>
      <c r="D20" s="290"/>
      <c r="E20" s="217"/>
      <c r="F20" s="208"/>
      <c r="G20" s="297">
        <f>IF((AllSat1&gt;0),"",MAX(F21:F25)/MAX(E21:E25))</f>
        <v>0</v>
      </c>
      <c r="H20" s="1696" t="s">
        <v>1804</v>
      </c>
      <c r="I20" s="1865" t="s">
        <v>339</v>
      </c>
    </row>
    <row r="21" spans="1:9" ht="15" customHeight="1" x14ac:dyDescent="0.2">
      <c r="A21" s="1853"/>
      <c r="B21" s="1670"/>
      <c r="C21" s="14" t="str">
        <f>F!C154</f>
        <v>&lt;10 cm deep (but &gt;0).</v>
      </c>
      <c r="D21" s="129">
        <f>F!D154</f>
        <v>0</v>
      </c>
      <c r="E21" s="211">
        <v>0</v>
      </c>
      <c r="F21" s="211">
        <f>D21*E21</f>
        <v>0</v>
      </c>
      <c r="G21" s="292"/>
      <c r="H21" s="1696"/>
      <c r="I21" s="1866"/>
    </row>
    <row r="22" spans="1:9" ht="15" customHeight="1" x14ac:dyDescent="0.2">
      <c r="A22" s="1853"/>
      <c r="B22" s="1670"/>
      <c r="C22" s="4" t="str">
        <f>F!C155</f>
        <v>10 - 50 cm deep.</v>
      </c>
      <c r="D22" s="33">
        <f>F!D155</f>
        <v>0</v>
      </c>
      <c r="E22" s="211">
        <v>1</v>
      </c>
      <c r="F22" s="211">
        <f>D22*E22</f>
        <v>0</v>
      </c>
      <c r="G22" s="293"/>
      <c r="H22" s="1696"/>
      <c r="I22" s="1866"/>
    </row>
    <row r="23" spans="1:9" ht="15" customHeight="1" x14ac:dyDescent="0.2">
      <c r="A23" s="1853"/>
      <c r="B23" s="1670"/>
      <c r="C23" s="4" t="str">
        <f>F!C156</f>
        <v>0.5 - 1 m deep.</v>
      </c>
      <c r="D23" s="33">
        <f>F!D156</f>
        <v>0</v>
      </c>
      <c r="E23" s="211">
        <v>2</v>
      </c>
      <c r="F23" s="211">
        <f>D23*E23</f>
        <v>0</v>
      </c>
      <c r="G23" s="293"/>
      <c r="H23" s="1696"/>
      <c r="I23" s="1866"/>
    </row>
    <row r="24" spans="1:9" ht="15" customHeight="1" x14ac:dyDescent="0.2">
      <c r="A24" s="1853"/>
      <c r="B24" s="1670"/>
      <c r="C24" s="4" t="str">
        <f>F!C157</f>
        <v>1 - 2 m deep.</v>
      </c>
      <c r="D24" s="33">
        <f>F!D157</f>
        <v>0</v>
      </c>
      <c r="E24" s="211">
        <v>4</v>
      </c>
      <c r="F24" s="211">
        <f>D24*E24</f>
        <v>0</v>
      </c>
      <c r="G24" s="293"/>
      <c r="H24" s="1696"/>
      <c r="I24" s="1866"/>
    </row>
    <row r="25" spans="1:9" ht="15.6" customHeight="1" thickBot="1" x14ac:dyDescent="0.25">
      <c r="A25" s="1853"/>
      <c r="B25" s="1670"/>
      <c r="C25" s="241" t="str">
        <f>F!C158</f>
        <v>&gt;2 m deep. True for many fringe wetlands.</v>
      </c>
      <c r="D25" s="128">
        <f>F!D158</f>
        <v>0</v>
      </c>
      <c r="E25" s="213">
        <v>6</v>
      </c>
      <c r="F25" s="213">
        <f>D25*E25</f>
        <v>0</v>
      </c>
      <c r="G25" s="302"/>
      <c r="H25" s="1696"/>
      <c r="I25" s="1867"/>
    </row>
    <row r="26" spans="1:9" ht="45" customHeight="1" thickBot="1" x14ac:dyDescent="0.25">
      <c r="A26" s="1862" t="str">
        <f>F!A163</f>
        <v>F31</v>
      </c>
      <c r="B26" s="1669" t="str">
        <f>F!B163</f>
        <v>% of Water That Is Ponded (not Flowing)</v>
      </c>
      <c r="C26" s="240" t="str">
        <f>F!C163</f>
        <v>During most times when surface water is present, the percentage that is (1) ponded (stagnant, or flows so slowly that fine sediment is not held in suspension) AND (2) is likely to be deeper than 0.5 m in some places, is:</v>
      </c>
      <c r="D26" s="290"/>
      <c r="E26" s="191"/>
      <c r="F26" s="209"/>
      <c r="G26" s="291">
        <f>IF((AllSat1&gt;0),"",MAX(F27:F31)/MAX(E27:E31))</f>
        <v>0</v>
      </c>
      <c r="H26" s="1669" t="s">
        <v>1881</v>
      </c>
      <c r="I26" s="1865" t="s">
        <v>338</v>
      </c>
    </row>
    <row r="27" spans="1:9" ht="15" customHeight="1" x14ac:dyDescent="0.2">
      <c r="A27" s="1723"/>
      <c r="B27" s="1670"/>
      <c r="C27" s="14" t="str">
        <f>F!C164</f>
        <v>&lt;5% of the water, or it occupies &lt;100 sq.m cumulatively. Nearly all the surface water is flowing. SKIP to F34.</v>
      </c>
      <c r="D27" s="145">
        <f>F!D164</f>
        <v>0</v>
      </c>
      <c r="E27" s="187">
        <v>4</v>
      </c>
      <c r="F27" s="211">
        <f>D27*E27</f>
        <v>0</v>
      </c>
      <c r="G27" s="293"/>
      <c r="H27" s="1670"/>
      <c r="I27" s="1866"/>
    </row>
    <row r="28" spans="1:9" ht="15" customHeight="1" x14ac:dyDescent="0.2">
      <c r="A28" s="1723"/>
      <c r="B28" s="1670"/>
      <c r="C28" s="4" t="str">
        <f>F!C165</f>
        <v>5-30% of the water.</v>
      </c>
      <c r="D28" s="146">
        <f>F!D165</f>
        <v>0</v>
      </c>
      <c r="E28" s="187">
        <v>3</v>
      </c>
      <c r="F28" s="211">
        <f>D28*E28</f>
        <v>0</v>
      </c>
      <c r="G28" s="293"/>
      <c r="H28" s="1670"/>
      <c r="I28" s="1866"/>
    </row>
    <row r="29" spans="1:9" ht="15" customHeight="1" x14ac:dyDescent="0.2">
      <c r="A29" s="1723"/>
      <c r="B29" s="1670"/>
      <c r="C29" s="4" t="str">
        <f>F!C166</f>
        <v>30-70% of the water.</v>
      </c>
      <c r="D29" s="146">
        <f>F!D166</f>
        <v>0</v>
      </c>
      <c r="E29" s="187">
        <v>2</v>
      </c>
      <c r="F29" s="211">
        <f>D29*E29</f>
        <v>0</v>
      </c>
      <c r="G29" s="293"/>
      <c r="H29" s="1670"/>
      <c r="I29" s="1866"/>
    </row>
    <row r="30" spans="1:9" ht="15" customHeight="1" x14ac:dyDescent="0.2">
      <c r="A30" s="1723"/>
      <c r="B30" s="1670"/>
      <c r="C30" s="4" t="str">
        <f>F!C167</f>
        <v>70-95% of the water.</v>
      </c>
      <c r="D30" s="146">
        <f>F!D167</f>
        <v>0</v>
      </c>
      <c r="E30" s="187">
        <v>1</v>
      </c>
      <c r="F30" s="211">
        <f>D30*E30</f>
        <v>0</v>
      </c>
      <c r="G30" s="293"/>
      <c r="H30" s="1670"/>
      <c r="I30" s="1866"/>
    </row>
    <row r="31" spans="1:9" ht="15.6" customHeight="1" thickBot="1" x14ac:dyDescent="0.25">
      <c r="A31" s="1863"/>
      <c r="B31" s="1671"/>
      <c r="C31" s="85" t="str">
        <f>F!C168</f>
        <v>&gt;95% of the water.</v>
      </c>
      <c r="D31" s="147">
        <f>F!D168</f>
        <v>0</v>
      </c>
      <c r="E31" s="188">
        <v>0</v>
      </c>
      <c r="F31" s="215">
        <f>D31*E31</f>
        <v>0</v>
      </c>
      <c r="G31" s="294"/>
      <c r="H31" s="1671"/>
      <c r="I31" s="1867"/>
    </row>
    <row r="32" spans="1:9" ht="30" customHeight="1" thickBot="1" x14ac:dyDescent="0.25">
      <c r="A32" s="1721" t="str">
        <f>F!A170</f>
        <v>F33</v>
      </c>
      <c r="B32" s="1669" t="str">
        <f>F!B170</f>
        <v xml:space="preserve">% of Ponded Water that is Open </v>
      </c>
      <c r="C32" s="3" t="str">
        <f>F!C170</f>
        <v>In ducks-eye aerial view, the percentage of the ponded water that is open (lacking emergent vegetation during most of the growing season, and unhidden by a forest or shrub canopy) is:</v>
      </c>
      <c r="D32" s="218"/>
      <c r="E32" s="191"/>
      <c r="F32" s="290"/>
      <c r="G32" s="291">
        <f>IF((AllSat1&gt;0),"",IF((NoPonded=1),"",MAX(F33:F38)/MAX(E33:E38)))</f>
        <v>0</v>
      </c>
      <c r="H32" s="1669" t="s">
        <v>1805</v>
      </c>
      <c r="I32" s="1865" t="s">
        <v>995</v>
      </c>
    </row>
    <row r="33" spans="1:11" ht="27" customHeight="1" x14ac:dyDescent="0.2">
      <c r="A33" s="1703"/>
      <c r="B33" s="1670"/>
      <c r="C33" s="222" t="str">
        <f>F!C171</f>
        <v>None, or &lt;1% of the AA and largest pool occupies &lt;0.01 hectares. Enter "1" and SKIP to F41 (Floating Algae &amp; Duckweed).</v>
      </c>
      <c r="D33" s="128">
        <f>F!D171</f>
        <v>0</v>
      </c>
      <c r="E33" s="187">
        <v>5</v>
      </c>
      <c r="F33" s="211">
        <f t="shared" ref="F33:F38" si="1">D33*E33</f>
        <v>0</v>
      </c>
      <c r="G33" s="293"/>
      <c r="H33" s="1670"/>
      <c r="I33" s="1866"/>
    </row>
    <row r="34" spans="1:11" ht="15" customHeight="1" x14ac:dyDescent="0.2">
      <c r="A34" s="1703"/>
      <c r="B34" s="1670"/>
      <c r="C34" s="241" t="str">
        <f>F!C172</f>
        <v>1-4% of the ponded water. Enter "1" and SKIP to F41 (Floating Algae &amp; Duckweed).</v>
      </c>
      <c r="D34" s="128">
        <f>F!D172</f>
        <v>0</v>
      </c>
      <c r="E34" s="187">
        <v>4</v>
      </c>
      <c r="F34" s="211">
        <f t="shared" si="1"/>
        <v>0</v>
      </c>
      <c r="G34" s="293"/>
      <c r="H34" s="1670"/>
      <c r="I34" s="1866"/>
    </row>
    <row r="35" spans="1:11" ht="15" customHeight="1" x14ac:dyDescent="0.2">
      <c r="A35" s="1703"/>
      <c r="B35" s="1670"/>
      <c r="C35" s="241" t="str">
        <f>F!C173</f>
        <v>5-30% of the ponded water.</v>
      </c>
      <c r="D35" s="128">
        <f>F!D173</f>
        <v>0</v>
      </c>
      <c r="E35" s="187">
        <v>3</v>
      </c>
      <c r="F35" s="211">
        <f t="shared" si="1"/>
        <v>0</v>
      </c>
      <c r="G35" s="293"/>
      <c r="H35" s="1670"/>
      <c r="I35" s="1866"/>
    </row>
    <row r="36" spans="1:11" ht="15" customHeight="1" x14ac:dyDescent="0.2">
      <c r="A36" s="1703"/>
      <c r="B36" s="1670"/>
      <c r="C36" s="241" t="str">
        <f>F!C174</f>
        <v>30-70% of the ponded water.</v>
      </c>
      <c r="D36" s="128">
        <f>F!D174</f>
        <v>0</v>
      </c>
      <c r="E36" s="187">
        <v>2</v>
      </c>
      <c r="F36" s="211">
        <f t="shared" si="1"/>
        <v>0</v>
      </c>
      <c r="G36" s="293"/>
      <c r="H36" s="1670"/>
      <c r="I36" s="1866"/>
    </row>
    <row r="37" spans="1:11" ht="15" customHeight="1" x14ac:dyDescent="0.2">
      <c r="A37" s="1703"/>
      <c r="B37" s="1670"/>
      <c r="C37" s="241" t="str">
        <f>F!C175</f>
        <v>70-99% of the ponded water.</v>
      </c>
      <c r="D37" s="128">
        <f>F!D175</f>
        <v>0</v>
      </c>
      <c r="E37" s="187">
        <v>1</v>
      </c>
      <c r="F37" s="211">
        <f t="shared" si="1"/>
        <v>0</v>
      </c>
      <c r="G37" s="293"/>
      <c r="H37" s="1670"/>
      <c r="I37" s="1866"/>
    </row>
    <row r="38" spans="1:11" ht="15.6" customHeight="1" thickBot="1" x14ac:dyDescent="0.25">
      <c r="A38" s="1722"/>
      <c r="B38" s="1671"/>
      <c r="C38" s="85" t="str">
        <f>F!C176</f>
        <v xml:space="preserve">100% of the ponded water. </v>
      </c>
      <c r="D38" s="84">
        <f>F!D176</f>
        <v>0</v>
      </c>
      <c r="E38" s="188">
        <v>0</v>
      </c>
      <c r="F38" s="215">
        <f t="shared" si="1"/>
        <v>0</v>
      </c>
      <c r="G38" s="294"/>
      <c r="H38" s="1671"/>
      <c r="I38" s="1867"/>
    </row>
    <row r="39" spans="1:11" ht="21" customHeight="1" thickBot="1" x14ac:dyDescent="0.25">
      <c r="A39" s="1853" t="str">
        <f>F!A237</f>
        <v>F50</v>
      </c>
      <c r="B39" s="1670" t="str">
        <f>F!B237</f>
        <v>Groundwater Strength of Evidence</v>
      </c>
      <c r="C39" s="3" t="str">
        <f>F!C237</f>
        <v>Select first applicable choice:</v>
      </c>
      <c r="D39" s="290"/>
      <c r="E39" s="217"/>
      <c r="F39" s="208"/>
      <c r="G39" s="297">
        <f>MAX(F40:F42)/MAX(E40:E42)</f>
        <v>0</v>
      </c>
      <c r="H39" s="1696" t="s">
        <v>1361</v>
      </c>
      <c r="I39" s="1865" t="s">
        <v>336</v>
      </c>
    </row>
    <row r="40" spans="1:11" ht="42" customHeight="1" x14ac:dyDescent="0.2">
      <c r="A40" s="1853"/>
      <c r="B40" s="1670"/>
      <c r="C40" s="222"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40" s="183">
        <f>F!D238</f>
        <v>0</v>
      </c>
      <c r="E40" s="211">
        <v>3</v>
      </c>
      <c r="F40" s="211">
        <f>D40*E40</f>
        <v>0</v>
      </c>
      <c r="G40" s="292"/>
      <c r="H40" s="1696"/>
      <c r="I40" s="1866"/>
    </row>
    <row r="41" spans="1:11" ht="27" customHeight="1" x14ac:dyDescent="0.2">
      <c r="A41" s="1853"/>
      <c r="B41" s="1670"/>
      <c r="C41" s="241" t="str">
        <f>F!C239</f>
        <v>Most of the AA has a slope of &gt;5%, or is very close to the base of a natural slope longer than 100 and much steeper than the slope of the AA,  AND the pH of surface water, if known, is &gt;5.5.</v>
      </c>
      <c r="D41" s="128">
        <f>F!D239</f>
        <v>0</v>
      </c>
      <c r="E41" s="211">
        <v>2</v>
      </c>
      <c r="F41" s="211">
        <f>D41*E41</f>
        <v>0</v>
      </c>
      <c r="G41" s="293"/>
      <c r="H41" s="1696"/>
      <c r="I41" s="1866"/>
    </row>
    <row r="42" spans="1:11" ht="27" customHeight="1" thickBot="1" x14ac:dyDescent="0.25">
      <c r="A42" s="1864"/>
      <c r="B42" s="1805"/>
      <c r="C42" s="241" t="str">
        <f>F!C240</f>
        <v>Neither of above is true, although some groundwater may discharge to or flow through the AA. Or groundwater influx is unknown.</v>
      </c>
      <c r="D42" s="128">
        <f>F!D240</f>
        <v>0</v>
      </c>
      <c r="E42" s="211">
        <v>0</v>
      </c>
      <c r="F42" s="211">
        <f>D42*E42</f>
        <v>0</v>
      </c>
      <c r="G42" s="293"/>
      <c r="H42" s="1712"/>
      <c r="I42" s="1867"/>
    </row>
    <row r="43" spans="1:11" s="247" customFormat="1" ht="36" customHeight="1" thickBot="1" x14ac:dyDescent="0.25">
      <c r="A43" s="863" t="s">
        <v>88</v>
      </c>
      <c r="B43" s="864" t="s">
        <v>1910</v>
      </c>
      <c r="C43" s="865" t="s">
        <v>1164</v>
      </c>
      <c r="D43" s="866" t="s">
        <v>45</v>
      </c>
      <c r="E43" s="867" t="s">
        <v>1188</v>
      </c>
      <c r="F43" s="868" t="s">
        <v>1189</v>
      </c>
      <c r="G43" s="869" t="s">
        <v>2558</v>
      </c>
      <c r="H43" s="863" t="s">
        <v>1117</v>
      </c>
      <c r="I43" s="850" t="s">
        <v>2427</v>
      </c>
    </row>
    <row r="44" spans="1:11" s="52" customFormat="1" ht="60" customHeight="1" thickBot="1" x14ac:dyDescent="0.25">
      <c r="A44" s="1310" t="str">
        <f>OF!A97</f>
        <v>OF18</v>
      </c>
      <c r="B44" s="1301" t="str">
        <f>OF!B97</f>
        <v>Relative Elevation in Watershed</v>
      </c>
      <c r="C44" s="1402" t="str">
        <f>OF!C97</f>
        <v>In Google Earth, enable the Terrain layer (lower left menu) and open the NB_Watersheds KMZ file that accompanies this calculator. Then determine the AA's approximate elevation (bottom right, NOT the "eye alt").  Then move cursor around to determine the watershed's maximum and minimum elevation.  Divide the AA's elevation by the (max-min).</v>
      </c>
      <c r="D44" s="1403"/>
      <c r="E44" s="1403"/>
      <c r="F44" s="1403"/>
      <c r="G44" s="310">
        <f>ShedPos</f>
        <v>0</v>
      </c>
      <c r="H44" s="654" t="s">
        <v>1537</v>
      </c>
      <c r="I44" s="120" t="s">
        <v>1536</v>
      </c>
      <c r="K44" s="247"/>
    </row>
    <row r="45" spans="1:11" ht="45" customHeight="1" thickBot="1" x14ac:dyDescent="0.25">
      <c r="A45" s="1721" t="str">
        <f>OF!A114</f>
        <v>OF23</v>
      </c>
      <c r="B45" s="1669" t="str">
        <f>OF!B114</f>
        <v>Unvegetated Surface in the Contributing Area</v>
      </c>
      <c r="C45" s="245" t="str">
        <f>OF!C114</f>
        <v>The proportion of the AA's contributing area (measured to no more than 1000 m upslope) that is comprised of buildings, roads, parking lots, other pavement, exposed bedrock, landslides, and other mostly-bare surface is about :</v>
      </c>
      <c r="D45" s="217"/>
      <c r="E45" s="296"/>
      <c r="F45" s="303"/>
      <c r="G45" s="1401">
        <f>MAX(F46:F48)/MAX(E46:E48)</f>
        <v>0</v>
      </c>
      <c r="H45" s="1670" t="s">
        <v>491</v>
      </c>
      <c r="I45" s="1865" t="s">
        <v>333</v>
      </c>
    </row>
    <row r="46" spans="1:11" ht="15" customHeight="1" x14ac:dyDescent="0.2">
      <c r="A46" s="1703"/>
      <c r="B46" s="1670"/>
      <c r="C46" s="1324" t="str">
        <f>OF!C115</f>
        <v>&lt;10%.</v>
      </c>
      <c r="D46" s="129">
        <f>OF!D115</f>
        <v>0</v>
      </c>
      <c r="E46" s="305">
        <v>0</v>
      </c>
      <c r="F46" s="305">
        <f>D46*E46</f>
        <v>0</v>
      </c>
      <c r="G46" s="306"/>
      <c r="H46" s="1670"/>
      <c r="I46" s="1866"/>
    </row>
    <row r="47" spans="1:11" ht="15" customHeight="1" x14ac:dyDescent="0.2">
      <c r="A47" s="1703"/>
      <c r="B47" s="1670"/>
      <c r="C47" s="1058" t="str">
        <f>OF!C116</f>
        <v>10 to 25%.</v>
      </c>
      <c r="D47" s="33">
        <f>OF!D116</f>
        <v>0</v>
      </c>
      <c r="E47" s="305">
        <v>2</v>
      </c>
      <c r="F47" s="305">
        <f>D47*E47</f>
        <v>0</v>
      </c>
      <c r="G47" s="300"/>
      <c r="H47" s="1670"/>
      <c r="I47" s="1866"/>
    </row>
    <row r="48" spans="1:11" ht="15.6" customHeight="1" thickBot="1" x14ac:dyDescent="0.25">
      <c r="A48" s="1722"/>
      <c r="B48" s="1671"/>
      <c r="C48" s="1061" t="str">
        <f>OF!C117</f>
        <v>&gt;25%.</v>
      </c>
      <c r="D48" s="84">
        <f>OF!D117</f>
        <v>0</v>
      </c>
      <c r="E48" s="311">
        <v>3</v>
      </c>
      <c r="F48" s="311">
        <f>D48*E48</f>
        <v>0</v>
      </c>
      <c r="G48" s="312"/>
      <c r="H48" s="1671"/>
      <c r="I48" s="1867"/>
    </row>
    <row r="49" spans="1:11" ht="21" customHeight="1" thickBot="1" x14ac:dyDescent="0.25">
      <c r="A49" s="1721" t="str">
        <f>OF!A$122</f>
        <v>OF25</v>
      </c>
      <c r="B49" s="1669" t="str">
        <f>OF!B$122</f>
        <v>Aspect</v>
      </c>
      <c r="C49" s="240" t="str">
        <f>OF!C122</f>
        <v>The overland flow direction of most surface water (in streams, rivers, or runoff) that enters the AA is:</v>
      </c>
      <c r="D49" s="290"/>
      <c r="E49" s="313"/>
      <c r="F49" s="313"/>
      <c r="G49" s="310">
        <f>IF((NoCA=1),"", MAX(F50:F52)/MAX(E50:E52))</f>
        <v>0</v>
      </c>
      <c r="H49" s="1669" t="s">
        <v>1806</v>
      </c>
      <c r="I49" s="1865" t="s">
        <v>332</v>
      </c>
    </row>
    <row r="50" spans="1:11" ht="15" customHeight="1" x14ac:dyDescent="0.2">
      <c r="A50" s="1703"/>
      <c r="B50" s="1670"/>
      <c r="C50" s="1325" t="str">
        <f>OF!C123</f>
        <v>Northward (N, NE). north-facing contributing area.</v>
      </c>
      <c r="D50" s="183">
        <f>OF!D123</f>
        <v>0</v>
      </c>
      <c r="E50" s="299">
        <v>0</v>
      </c>
      <c r="F50" s="299">
        <f>D50*E50</f>
        <v>0</v>
      </c>
      <c r="G50" s="314"/>
      <c r="H50" s="1670"/>
      <c r="I50" s="1866"/>
    </row>
    <row r="51" spans="1:11" ht="15" customHeight="1" x14ac:dyDescent="0.2">
      <c r="A51" s="1703"/>
      <c r="B51" s="1670"/>
      <c r="C51" s="1334" t="str">
        <f>OF!C124</f>
        <v>Southward (S, SW). south-facing contributing area.</v>
      </c>
      <c r="D51" s="128">
        <f>OF!D124</f>
        <v>0</v>
      </c>
      <c r="E51" s="299">
        <v>2</v>
      </c>
      <c r="F51" s="299">
        <f>D51*E51</f>
        <v>0</v>
      </c>
      <c r="G51" s="315"/>
      <c r="H51" s="1670"/>
      <c r="I51" s="1866"/>
    </row>
    <row r="52" spans="1:11" ht="15.6" customHeight="1" thickBot="1" x14ac:dyDescent="0.25">
      <c r="A52" s="1722"/>
      <c r="B52" s="1671"/>
      <c r="C52" s="1334" t="str">
        <f>OF!C125</f>
        <v>Other (E, SE, W, NW), or no detectable uphill slope or input channel (flat).</v>
      </c>
      <c r="D52" s="128">
        <f>OF!D125</f>
        <v>0</v>
      </c>
      <c r="E52" s="1404">
        <v>1</v>
      </c>
      <c r="F52" s="1404">
        <f>D52*E52</f>
        <v>0</v>
      </c>
      <c r="G52" s="695"/>
      <c r="H52" s="1671"/>
      <c r="I52" s="1867"/>
    </row>
    <row r="53" spans="1:11" ht="45" customHeight="1" thickBot="1" x14ac:dyDescent="0.25">
      <c r="A53" s="436" t="str">
        <f>OF!A133</f>
        <v>OF27</v>
      </c>
      <c r="B53" s="120" t="str">
        <f>OF!B133</f>
        <v>Growing Degree Days</v>
      </c>
      <c r="C53" s="283" t="str">
        <f>OF!C133</f>
        <v>In Google Earth, open the KMZ file that accompanies this calculator, called NB-PEI_GrowingDegreeDays. Place your cursor over the AA and left-click. From the pop-up, enter the GRIDCODE in the next column.</v>
      </c>
      <c r="D53" s="114">
        <f>OF!D133</f>
        <v>0</v>
      </c>
      <c r="E53" s="1406"/>
      <c r="F53" s="317"/>
      <c r="G53" s="289" t="str">
        <f>IF((GrowD&lt;1),"",(GrowD-1305)/1328)</f>
        <v/>
      </c>
      <c r="H53" s="120" t="s">
        <v>962</v>
      </c>
      <c r="I53" s="1126" t="s">
        <v>1093</v>
      </c>
    </row>
    <row r="54" spans="1:11" ht="30" customHeight="1" thickBot="1" x14ac:dyDescent="0.25">
      <c r="A54" s="283" t="str">
        <f>F!A119</f>
        <v>F22</v>
      </c>
      <c r="B54" s="36" t="str">
        <f>F!B119</f>
        <v>Fringe Wetland</v>
      </c>
      <c r="C54" s="626" t="str">
        <f>F!C119</f>
        <v>During most of the year, open water within or adjacent to the vegetated part of the wetland is much wider than the maximum width of the vegetated zone within the wetland. Enter "1" if true, "0" if false.</v>
      </c>
      <c r="D54" s="935">
        <f>F!D119</f>
        <v>0</v>
      </c>
      <c r="E54" s="1405"/>
      <c r="F54" s="1405"/>
      <c r="G54" s="332" t="str">
        <f>IF((D54=1),0,"")</f>
        <v/>
      </c>
      <c r="H54" s="3" t="s">
        <v>0</v>
      </c>
      <c r="I54" s="894" t="s">
        <v>329</v>
      </c>
    </row>
    <row r="55" spans="1:11" ht="60" customHeight="1" thickBot="1" x14ac:dyDescent="0.25">
      <c r="A55" s="1872" t="str">
        <f>F!A206</f>
        <v>F42</v>
      </c>
      <c r="B55" s="1667" t="str">
        <f>F!B206</f>
        <v>Channel Connection &amp; Outflow Duration</v>
      </c>
      <c r="C55" s="284" t="str">
        <f>F!C206</f>
        <v>The most persistent surface water connection (outlet channel or pipe, ditch, or overbank water exchange) between the AA and a downslope stream network is: [Note: If the AA represents only part of a wetland, answer this according to whichever is the least permanent surface connection: the one between the AA and the rest of the wetland, or the surface connection between the wetland and the downslope stream network.]</v>
      </c>
      <c r="D55" s="290"/>
      <c r="E55" s="319"/>
      <c r="F55" s="319"/>
      <c r="G55" s="304">
        <f>MAX(F56:F60)/MAX(E56:E60)</f>
        <v>0</v>
      </c>
      <c r="H55" s="1670" t="s">
        <v>492</v>
      </c>
      <c r="I55" s="1865" t="s">
        <v>331</v>
      </c>
    </row>
    <row r="56" spans="1:11" ht="16.149999999999999" customHeight="1" x14ac:dyDescent="0.2">
      <c r="A56" s="1872"/>
      <c r="B56" s="1667"/>
      <c r="C56" s="285" t="str">
        <f>F!C207</f>
        <v>Persistent (surface water flows out for &gt;9 months/year).</v>
      </c>
      <c r="D56" s="131">
        <f>F!D207</f>
        <v>0</v>
      </c>
      <c r="E56" s="203">
        <v>5</v>
      </c>
      <c r="F56" s="305">
        <f>D56*E56</f>
        <v>0</v>
      </c>
      <c r="G56" s="320"/>
      <c r="H56" s="1670"/>
      <c r="I56" s="1866"/>
    </row>
    <row r="57" spans="1:11" ht="15" customHeight="1" x14ac:dyDescent="0.2">
      <c r="A57" s="1872"/>
      <c r="B57" s="1667"/>
      <c r="C57" s="286" t="str">
        <f>F!C208</f>
        <v>Seasonal (surface water flows out for 14 days to 9 months/year, not necessarily consecutive).</v>
      </c>
      <c r="D57" s="132">
        <f>F!D208</f>
        <v>0</v>
      </c>
      <c r="E57" s="203">
        <v>2</v>
      </c>
      <c r="F57" s="305">
        <f>D57*E57</f>
        <v>0</v>
      </c>
      <c r="G57" s="301"/>
      <c r="H57" s="1670"/>
      <c r="I57" s="1866"/>
    </row>
    <row r="58" spans="1:11" ht="18.75" customHeight="1" x14ac:dyDescent="0.2">
      <c r="A58" s="1872"/>
      <c r="B58" s="1667"/>
      <c r="C58" s="286" t="str">
        <f>F!C209</f>
        <v>Temporary (surface water flows out for &lt;14 days, not necessarily consecutive).</v>
      </c>
      <c r="D58" s="132">
        <f>F!D209</f>
        <v>0</v>
      </c>
      <c r="E58" s="203">
        <v>1</v>
      </c>
      <c r="F58" s="305">
        <f>D58*E58</f>
        <v>0</v>
      </c>
      <c r="G58" s="301"/>
      <c r="H58" s="1670"/>
      <c r="I58" s="1866"/>
    </row>
    <row r="59" spans="1:11" ht="27" customHeight="1" x14ac:dyDescent="0.2">
      <c r="A59" s="1872"/>
      <c r="B59" s="1667"/>
      <c r="C59" s="286" t="str">
        <f>F!C210</f>
        <v>None -- but maps show a stream network downslope from the AA and within a distance that is less than the AA's length. SKIP to F47 (pH Measurement).</v>
      </c>
      <c r="D59" s="132">
        <f>F!D210</f>
        <v>0</v>
      </c>
      <c r="E59" s="203">
        <v>0</v>
      </c>
      <c r="F59" s="305">
        <f>D59*E59</f>
        <v>0</v>
      </c>
      <c r="G59" s="301"/>
      <c r="H59" s="1670"/>
      <c r="I59" s="1866"/>
    </row>
    <row r="60" spans="1:11" ht="27" customHeight="1" thickBot="1" x14ac:dyDescent="0.25">
      <c r="A60" s="1872"/>
      <c r="B60" s="1667"/>
      <c r="C60" s="287" t="str">
        <f>F!C211</f>
        <v>No surface water flows out of the wetland except possibly during extreme events (&lt;once per 10 years). Or, water flows only into a wetland, ditch, or lake that lacks an outlet. SKIP to F47 (pH Measurement).</v>
      </c>
      <c r="D60" s="133">
        <f>F!D211</f>
        <v>0</v>
      </c>
      <c r="E60" s="321">
        <v>0</v>
      </c>
      <c r="F60" s="307">
        <f>D60*E60</f>
        <v>0</v>
      </c>
      <c r="G60" s="301"/>
      <c r="H60" s="1670"/>
      <c r="I60" s="1867"/>
    </row>
    <row r="61" spans="1:11" ht="195" customHeight="1" thickBot="1" x14ac:dyDescent="0.25">
      <c r="A61" s="283" t="str">
        <f>F!A217</f>
        <v>F45</v>
      </c>
      <c r="B61" s="36" t="str">
        <f>F!B217</f>
        <v>Input Water Temperature</v>
      </c>
      <c r="C61" s="90" t="str">
        <f>F!C217</f>
        <v>Based on lack of shade, water source characteristics, or actual temperature measurements, the inflow is likely to be warmer than surface water in the AA during part of most years. Enter 1= yes, 0= no.</v>
      </c>
      <c r="D61" s="114">
        <f>F!D217</f>
        <v>0</v>
      </c>
      <c r="E61" s="317"/>
      <c r="F61" s="317"/>
      <c r="G61" s="318" t="str">
        <f>IF((Inflows=0),"",D61)</f>
        <v/>
      </c>
      <c r="H61" s="36" t="s">
        <v>1807</v>
      </c>
      <c r="I61" s="860" t="s">
        <v>330</v>
      </c>
    </row>
    <row r="62" spans="1:11" s="2" customFormat="1" ht="30" customHeight="1" thickBot="1" x14ac:dyDescent="0.25">
      <c r="A62" s="283"/>
      <c r="B62" s="53" t="str">
        <f>FA!C151</f>
        <v>Function Score for Anadromous Fish Habitat</v>
      </c>
      <c r="C62" s="622"/>
      <c r="D62" s="220"/>
      <c r="E62" s="322"/>
      <c r="F62" s="317"/>
      <c r="G62" s="318">
        <f>FA!G151/10</f>
        <v>0</v>
      </c>
      <c r="H62" s="36" t="s">
        <v>1535</v>
      </c>
      <c r="I62" s="36" t="s">
        <v>328</v>
      </c>
      <c r="K62" s="56"/>
    </row>
    <row r="63" spans="1:11" ht="21" customHeight="1" thickBot="1" x14ac:dyDescent="0.25">
      <c r="A63" s="1870"/>
      <c r="B63" s="1870"/>
      <c r="C63" s="1870"/>
      <c r="D63" s="1870"/>
      <c r="E63" s="1870"/>
      <c r="F63" s="1870"/>
      <c r="G63" s="1870"/>
      <c r="H63" s="1870"/>
    </row>
    <row r="64" spans="1:11" ht="30" customHeight="1" thickBot="1" x14ac:dyDescent="0.25">
      <c r="A64" s="1841"/>
      <c r="B64" s="1871"/>
      <c r="C64" s="1838" t="s">
        <v>489</v>
      </c>
      <c r="D64" s="1839"/>
      <c r="E64" s="1840"/>
      <c r="F64" s="859" t="s">
        <v>52</v>
      </c>
      <c r="G64" s="925">
        <f>10*(IF((AllSat1=1),Gwater7, AVERAGE(Gwater7, Shade7,OpenPonded7, Depth7,ISOdry7,SatPct7)))</f>
        <v>0</v>
      </c>
      <c r="H64" s="1807" t="s">
        <v>2092</v>
      </c>
      <c r="I64" s="1808"/>
    </row>
    <row r="65" spans="1:9" ht="30" customHeight="1" thickBot="1" x14ac:dyDescent="0.25">
      <c r="A65" s="1841"/>
      <c r="B65" s="1871"/>
      <c r="C65" s="1838" t="s">
        <v>1905</v>
      </c>
      <c r="D65" s="1839"/>
      <c r="E65" s="1840"/>
      <c r="F65" s="1046" t="s">
        <v>2223</v>
      </c>
      <c r="G65" s="926">
        <f>10*(IF((Fringe7b=1),0, OutDur7 * ((AVERAGE(ShadeIn7,ShedPos7,Aspect7v,Imperv7, Warmth7)+AnadFish7) /2)))</f>
        <v>0</v>
      </c>
      <c r="H65" s="1807" t="s">
        <v>2093</v>
      </c>
      <c r="I65" s="1808"/>
    </row>
    <row r="66" spans="1:9" ht="21" customHeight="1" thickBot="1" x14ac:dyDescent="0.25">
      <c r="A66" s="2"/>
      <c r="B66" s="2"/>
      <c r="D66" s="2"/>
      <c r="E66" s="2"/>
      <c r="F66" s="2"/>
      <c r="G66" s="2"/>
    </row>
    <row r="67" spans="1:9" ht="21" customHeight="1" thickBot="1" x14ac:dyDescent="0.25">
      <c r="A67" s="2"/>
      <c r="B67" s="2"/>
      <c r="D67" s="2"/>
      <c r="E67" s="2"/>
      <c r="F67" s="2"/>
      <c r="G67" s="2"/>
      <c r="H67" s="1877" t="s">
        <v>669</v>
      </c>
      <c r="I67" s="1878"/>
    </row>
    <row r="68" spans="1:9" ht="21" customHeight="1" x14ac:dyDescent="0.2">
      <c r="A68" s="2"/>
      <c r="B68" s="2"/>
      <c r="D68" s="2"/>
      <c r="E68" s="2"/>
      <c r="F68" s="2"/>
      <c r="G68" s="2"/>
      <c r="H68" s="1873" t="s">
        <v>2040</v>
      </c>
      <c r="I68" s="1874"/>
    </row>
    <row r="69" spans="1:9" ht="27" customHeight="1" x14ac:dyDescent="0.2">
      <c r="A69" s="2"/>
      <c r="B69" s="2"/>
      <c r="D69" s="2"/>
      <c r="E69" s="2"/>
      <c r="F69" s="2"/>
      <c r="G69" s="2"/>
      <c r="H69" s="1792" t="s">
        <v>679</v>
      </c>
      <c r="I69" s="1793"/>
    </row>
    <row r="70" spans="1:9" ht="42" customHeight="1" x14ac:dyDescent="0.2">
      <c r="A70" s="2"/>
      <c r="B70" s="2"/>
      <c r="D70" s="2"/>
      <c r="E70" s="2"/>
      <c r="F70" s="2"/>
      <c r="G70" s="2"/>
      <c r="H70" s="1792" t="s">
        <v>680</v>
      </c>
      <c r="I70" s="1793"/>
    </row>
    <row r="71" spans="1:9" ht="42" customHeight="1" x14ac:dyDescent="0.2">
      <c r="A71" s="2"/>
      <c r="B71" s="2"/>
      <c r="D71" s="2"/>
      <c r="E71" s="2"/>
      <c r="F71" s="2"/>
      <c r="G71" s="2"/>
      <c r="H71" s="1792" t="s">
        <v>681</v>
      </c>
      <c r="I71" s="1793"/>
    </row>
    <row r="72" spans="1:9" ht="42" customHeight="1" x14ac:dyDescent="0.2">
      <c r="A72" s="2"/>
      <c r="B72" s="2"/>
      <c r="D72" s="2"/>
      <c r="E72" s="2"/>
      <c r="F72" s="2"/>
      <c r="G72" s="2"/>
      <c r="H72" s="1792" t="s">
        <v>682</v>
      </c>
      <c r="I72" s="1793"/>
    </row>
    <row r="73" spans="1:9" ht="27" customHeight="1" x14ac:dyDescent="0.2">
      <c r="A73" s="2"/>
      <c r="B73" s="2"/>
      <c r="D73" s="2"/>
      <c r="E73" s="2"/>
      <c r="F73" s="2"/>
      <c r="G73" s="2"/>
      <c r="H73" s="1796" t="s">
        <v>1362</v>
      </c>
      <c r="I73" s="1797"/>
    </row>
    <row r="74" spans="1:9" ht="42" customHeight="1" x14ac:dyDescent="0.2">
      <c r="A74" s="2"/>
      <c r="B74" s="2"/>
      <c r="D74" s="2"/>
      <c r="E74" s="2"/>
      <c r="F74" s="2"/>
      <c r="G74" s="2"/>
      <c r="H74" s="1792" t="s">
        <v>683</v>
      </c>
      <c r="I74" s="1793"/>
    </row>
    <row r="75" spans="1:9" ht="27" customHeight="1" x14ac:dyDescent="0.2">
      <c r="A75" s="2"/>
      <c r="B75" s="2"/>
      <c r="D75" s="2"/>
      <c r="E75" s="2"/>
      <c r="F75" s="2"/>
      <c r="G75" s="2"/>
      <c r="H75" s="1792" t="s">
        <v>684</v>
      </c>
      <c r="I75" s="1793"/>
    </row>
    <row r="76" spans="1:9" ht="42" customHeight="1" x14ac:dyDescent="0.2">
      <c r="A76" s="2"/>
      <c r="B76" s="2"/>
      <c r="D76" s="2"/>
      <c r="E76" s="2"/>
      <c r="F76" s="2"/>
      <c r="G76" s="2"/>
      <c r="H76" s="1792" t="s">
        <v>1163</v>
      </c>
      <c r="I76" s="1793"/>
    </row>
    <row r="77" spans="1:9" ht="27" customHeight="1" x14ac:dyDescent="0.2">
      <c r="A77" s="2"/>
      <c r="B77" s="2"/>
      <c r="D77" s="2"/>
      <c r="E77" s="2"/>
      <c r="F77" s="2"/>
      <c r="G77" s="2"/>
      <c r="H77" s="1792" t="s">
        <v>685</v>
      </c>
      <c r="I77" s="1793"/>
    </row>
    <row r="78" spans="1:9" ht="27" customHeight="1" thickBot="1" x14ac:dyDescent="0.25">
      <c r="A78" s="2"/>
      <c r="B78" s="2"/>
      <c r="D78" s="2"/>
      <c r="E78" s="2"/>
      <c r="F78" s="2"/>
      <c r="G78" s="2"/>
      <c r="H78" s="1794" t="s">
        <v>686</v>
      </c>
      <c r="I78" s="1795"/>
    </row>
  </sheetData>
  <sheetProtection algorithmName="SHA-512" hashValue="tklT2ndKzPPzrarf2Utha8dito2rmjPFdiB0I7qD/GIUcW9U1DHdg4svzVkgWBLE9AMNVUPz8VlrCbvpAZo71w==" saltValue="+GdmtLX35ArFa8HQ8cHmwg==" spinCount="100000" sheet="1" formatCells="0" formatColumns="0" formatRows="0"/>
  <customSheetViews>
    <customSheetView guid="{B8E02330-2419-4DE6-AD01-7ACC7A5D18DD}" scale="75" topLeftCell="A35">
      <selection activeCell="A2" sqref="A2:H47"/>
      <pageMargins left="0.75" right="0.75" top="1" bottom="1" header="0.5" footer="0.5"/>
      <pageSetup orientation="portrait" r:id="rId1"/>
      <headerFooter alignWithMargins="0"/>
    </customSheetView>
  </customSheetViews>
  <mergeCells count="60">
    <mergeCell ref="H78:I78"/>
    <mergeCell ref="H68:I68"/>
    <mergeCell ref="I3:I6"/>
    <mergeCell ref="E1:I1"/>
    <mergeCell ref="H73:I73"/>
    <mergeCell ref="H74:I74"/>
    <mergeCell ref="H75:I75"/>
    <mergeCell ref="H76:I76"/>
    <mergeCell ref="H77:I77"/>
    <mergeCell ref="H67:I67"/>
    <mergeCell ref="H69:I69"/>
    <mergeCell ref="H70:I70"/>
    <mergeCell ref="H71:I71"/>
    <mergeCell ref="H72:I72"/>
    <mergeCell ref="I49:I52"/>
    <mergeCell ref="I55:I60"/>
    <mergeCell ref="H64:I64"/>
    <mergeCell ref="H65:I65"/>
    <mergeCell ref="I32:I38"/>
    <mergeCell ref="I39:I42"/>
    <mergeCell ref="I45:I48"/>
    <mergeCell ref="A63:H63"/>
    <mergeCell ref="A64:B65"/>
    <mergeCell ref="C64:E64"/>
    <mergeCell ref="C65:E65"/>
    <mergeCell ref="H55:H60"/>
    <mergeCell ref="A55:A60"/>
    <mergeCell ref="B55:B60"/>
    <mergeCell ref="H32:H38"/>
    <mergeCell ref="B49:B52"/>
    <mergeCell ref="H49:H52"/>
    <mergeCell ref="A49:A52"/>
    <mergeCell ref="I7:I13"/>
    <mergeCell ref="I14:I19"/>
    <mergeCell ref="I20:I25"/>
    <mergeCell ref="I26:I31"/>
    <mergeCell ref="A1:B1"/>
    <mergeCell ref="A3:A6"/>
    <mergeCell ref="B20:B25"/>
    <mergeCell ref="B3:B6"/>
    <mergeCell ref="H3:H6"/>
    <mergeCell ref="H14:H19"/>
    <mergeCell ref="A14:A19"/>
    <mergeCell ref="B7:B13"/>
    <mergeCell ref="A7:A13"/>
    <mergeCell ref="H7:H13"/>
    <mergeCell ref="B14:B19"/>
    <mergeCell ref="A20:A25"/>
    <mergeCell ref="H20:H25"/>
    <mergeCell ref="B26:B31"/>
    <mergeCell ref="A45:A48"/>
    <mergeCell ref="H45:H48"/>
    <mergeCell ref="B45:B48"/>
    <mergeCell ref="H26:H31"/>
    <mergeCell ref="B39:B42"/>
    <mergeCell ref="A26:A31"/>
    <mergeCell ref="H39:H42"/>
    <mergeCell ref="A32:A38"/>
    <mergeCell ref="B32:B38"/>
    <mergeCell ref="A39:A42"/>
  </mergeCells>
  <phoneticPr fontId="3" type="noConversion"/>
  <pageMargins left="0.75" right="0.75" top="1" bottom="1" header="0.5" footer="0.5"/>
  <pageSetup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J179"/>
  <sheetViews>
    <sheetView topLeftCell="A22" zoomScaleNormal="100" workbookViewId="0">
      <selection activeCell="G44" sqref="G44"/>
    </sheetView>
  </sheetViews>
  <sheetFormatPr defaultColWidth="9.33203125" defaultRowHeight="16.5" x14ac:dyDescent="0.2"/>
  <cols>
    <col min="1" max="1" width="5.83203125" style="30" customWidth="1"/>
    <col min="2" max="2" width="18.83203125" style="29" customWidth="1"/>
    <col min="3" max="3" width="75.83203125" style="29" customWidth="1"/>
    <col min="4" max="6" width="7.83203125" style="71" customWidth="1"/>
    <col min="7" max="7" width="9.6640625" style="72" customWidth="1"/>
    <col min="8" max="8" width="64.83203125" style="10" customWidth="1"/>
    <col min="9" max="9" width="12.6640625" style="2" customWidth="1"/>
    <col min="10" max="10" width="9.33203125" style="57"/>
    <col min="11" max="16384" width="9.33203125" style="29"/>
  </cols>
  <sheetData>
    <row r="1" spans="1:10" s="54" customFormat="1" ht="69" customHeight="1" thickBot="1" x14ac:dyDescent="0.25">
      <c r="A1" s="1868" t="s">
        <v>2431</v>
      </c>
      <c r="B1" s="1869"/>
      <c r="C1" s="1407" t="s">
        <v>2254</v>
      </c>
      <c r="D1" s="1408" t="s">
        <v>1060</v>
      </c>
      <c r="E1" s="1891"/>
      <c r="F1" s="1892"/>
      <c r="G1" s="1892"/>
      <c r="H1" s="1892"/>
      <c r="I1" s="1892"/>
      <c r="J1" s="57"/>
    </row>
    <row r="2" spans="1:10" s="56" customFormat="1" ht="36" customHeight="1" thickBot="1" x14ac:dyDescent="0.25">
      <c r="A2" s="1004" t="s">
        <v>88</v>
      </c>
      <c r="B2" s="1004" t="s">
        <v>1167</v>
      </c>
      <c r="C2" s="1562" t="s">
        <v>1164</v>
      </c>
      <c r="D2" s="1558" t="s">
        <v>45</v>
      </c>
      <c r="E2" s="1559" t="s">
        <v>1188</v>
      </c>
      <c r="F2" s="1560" t="s">
        <v>1189</v>
      </c>
      <c r="G2" s="1561" t="s">
        <v>2558</v>
      </c>
      <c r="H2" s="1563" t="s">
        <v>1117</v>
      </c>
      <c r="I2" s="1564" t="s">
        <v>2427</v>
      </c>
    </row>
    <row r="3" spans="1:10" ht="90" thickBot="1" x14ac:dyDescent="0.25">
      <c r="A3" s="1813" t="str">
        <f>OF!A109</f>
        <v>OF22</v>
      </c>
      <c r="B3" s="1816" t="str">
        <f>OF!B109</f>
        <v>Wetland as a % of Its Contributing Area (Catchment)</v>
      </c>
      <c r="C3" s="60" t="str">
        <f>OF!C109</f>
        <v>From a topographic map and field observations, estimate the approximate boundaries of the catchment (CA) of the entire wetland of which the AA may be only a part. Then adjust those boundaries if necessary based on your field observations of the surrounding terrain, and/or by using procedures described in the Manual.  Divide the area of the wetland (not just the AA) by the approximate area of its catchment excluding the area of the wetland itself.  When doing the calculation, if ponded water is adjacent to the wetland, include that in the wetland's area.  The result is:</v>
      </c>
      <c r="D3" s="879"/>
      <c r="E3" s="1555"/>
      <c r="F3" s="1556"/>
      <c r="G3" s="262">
        <f>MAX(F4:F7)/MAX(E4:E7)</f>
        <v>0</v>
      </c>
      <c r="H3" s="1856" t="s">
        <v>2945</v>
      </c>
      <c r="I3" s="1669" t="s">
        <v>1156</v>
      </c>
    </row>
    <row r="4" spans="1:10" ht="25.5" x14ac:dyDescent="0.2">
      <c r="A4" s="1814"/>
      <c r="B4" s="1790"/>
      <c r="C4" s="1568" t="str">
        <f>OF!C110</f>
        <v>&lt;0.01, or catchment size unknown due to stormwater pipes that collect water from an indeterminate area.</v>
      </c>
      <c r="D4" s="122">
        <f>OF!D110</f>
        <v>0</v>
      </c>
      <c r="E4" s="35">
        <v>0</v>
      </c>
      <c r="F4" s="196">
        <f t="shared" ref="F4:F7" si="0">D4*E4</f>
        <v>0</v>
      </c>
      <c r="G4" s="1569"/>
      <c r="H4" s="1893"/>
      <c r="I4" s="1670"/>
    </row>
    <row r="5" spans="1:10" x14ac:dyDescent="0.2">
      <c r="A5" s="1814"/>
      <c r="B5" s="1790"/>
      <c r="C5" s="1566" t="str">
        <f>OF!C111</f>
        <v>0.01 to 0.1.</v>
      </c>
      <c r="D5" s="122">
        <f>OF!D111</f>
        <v>0</v>
      </c>
      <c r="E5" s="35">
        <v>1</v>
      </c>
      <c r="F5" s="196">
        <f t="shared" si="0"/>
        <v>0</v>
      </c>
      <c r="G5" s="1557"/>
      <c r="H5" s="1893"/>
      <c r="I5" s="1670"/>
    </row>
    <row r="6" spans="1:10" x14ac:dyDescent="0.2">
      <c r="A6" s="1814"/>
      <c r="B6" s="1790"/>
      <c r="C6" s="1566" t="str">
        <f>OF!C112</f>
        <v>0.1 to 1.</v>
      </c>
      <c r="D6" s="122">
        <f>OF!D112</f>
        <v>0</v>
      </c>
      <c r="E6" s="35">
        <v>2</v>
      </c>
      <c r="F6" s="196">
        <f t="shared" si="0"/>
        <v>0</v>
      </c>
      <c r="G6" s="1557"/>
      <c r="H6" s="1893"/>
      <c r="I6" s="1670"/>
    </row>
    <row r="7" spans="1:10" ht="26.25" thickBot="1" x14ac:dyDescent="0.25">
      <c r="A7" s="1815"/>
      <c r="B7" s="1791"/>
      <c r="C7" s="1567" t="str">
        <f>OF!C113</f>
        <v xml:space="preserve">&gt;1 (wetland is larger than its catchment (e.g., wetland with flat surrounding terrain and no inlet, or is entirely isolated by dikes, or is a raised bog). </v>
      </c>
      <c r="D7" s="123">
        <f>OF!D113</f>
        <v>0</v>
      </c>
      <c r="E7" s="112">
        <v>3</v>
      </c>
      <c r="F7" s="349">
        <f t="shared" si="0"/>
        <v>0</v>
      </c>
      <c r="G7" s="1565"/>
      <c r="H7" s="1894"/>
      <c r="I7" s="1671"/>
    </row>
    <row r="8" spans="1:10" ht="15" customHeight="1" thickBot="1" x14ac:dyDescent="0.25">
      <c r="A8" s="1905" t="str">
        <f>OF!A126</f>
        <v>OF26</v>
      </c>
      <c r="B8" s="1816" t="str">
        <f>OF!B126</f>
        <v>Internal Flow Distance (Path Length)</v>
      </c>
      <c r="C8" s="60" t="str">
        <f>OF!C126</f>
        <v xml:space="preserve">The horizontal flow distance from the wetland's inlet to outlet is: </v>
      </c>
      <c r="D8" s="379"/>
      <c r="E8" s="193"/>
      <c r="F8" s="352"/>
      <c r="G8" s="268">
        <f>MAX(F8:F14)/MAX(E8:E14)</f>
        <v>0</v>
      </c>
      <c r="H8" s="1669" t="s">
        <v>2946</v>
      </c>
      <c r="I8" s="1669" t="s">
        <v>1006</v>
      </c>
    </row>
    <row r="9" spans="1:10" ht="15" customHeight="1" x14ac:dyDescent="0.2">
      <c r="A9" s="1906"/>
      <c r="B9" s="1790"/>
      <c r="C9" s="230" t="str">
        <f>OF!C127</f>
        <v>&lt;10 m.</v>
      </c>
      <c r="D9" s="675">
        <f>OF!D127</f>
        <v>0</v>
      </c>
      <c r="E9" s="35">
        <v>0</v>
      </c>
      <c r="F9" s="196">
        <f t="shared" ref="F9:F14" si="1">D9*E9</f>
        <v>0</v>
      </c>
      <c r="G9" s="271"/>
      <c r="H9" s="1670"/>
      <c r="I9" s="1670"/>
    </row>
    <row r="10" spans="1:10" ht="15" customHeight="1" x14ac:dyDescent="0.2">
      <c r="A10" s="1906"/>
      <c r="B10" s="1790"/>
      <c r="C10" s="232" t="str">
        <f>OF!C128</f>
        <v>10 - 50 m.</v>
      </c>
      <c r="D10" s="675">
        <f>OF!D128</f>
        <v>0</v>
      </c>
      <c r="E10" s="35">
        <v>1</v>
      </c>
      <c r="F10" s="196">
        <f t="shared" si="1"/>
        <v>0</v>
      </c>
      <c r="G10" s="271"/>
      <c r="H10" s="1670"/>
      <c r="I10" s="1670"/>
    </row>
    <row r="11" spans="1:10" ht="15" customHeight="1" x14ac:dyDescent="0.2">
      <c r="A11" s="1906"/>
      <c r="B11" s="1790"/>
      <c r="C11" s="232" t="str">
        <f>OF!C129</f>
        <v>50 - 100 m.</v>
      </c>
      <c r="D11" s="675">
        <f>OF!D129</f>
        <v>0</v>
      </c>
      <c r="E11" s="35">
        <v>2</v>
      </c>
      <c r="F11" s="198">
        <f t="shared" si="1"/>
        <v>0</v>
      </c>
      <c r="G11" s="257"/>
      <c r="H11" s="1670"/>
      <c r="I11" s="1670"/>
    </row>
    <row r="12" spans="1:10" ht="15" customHeight="1" x14ac:dyDescent="0.2">
      <c r="A12" s="1906"/>
      <c r="B12" s="1790"/>
      <c r="C12" s="232" t="str">
        <f>OF!C130</f>
        <v>100 - 1000 m.</v>
      </c>
      <c r="D12" s="675">
        <f>OF!D130</f>
        <v>0</v>
      </c>
      <c r="E12" s="35">
        <v>3</v>
      </c>
      <c r="F12" s="198">
        <f t="shared" si="1"/>
        <v>0</v>
      </c>
      <c r="G12" s="257"/>
      <c r="H12" s="1670"/>
      <c r="I12" s="1670"/>
    </row>
    <row r="13" spans="1:10" ht="15" customHeight="1" x14ac:dyDescent="0.2">
      <c r="A13" s="1906"/>
      <c r="B13" s="1790"/>
      <c r="C13" s="232" t="str">
        <f>OF!C131</f>
        <v>1- 2 km.</v>
      </c>
      <c r="D13" s="675">
        <f>OF!D131</f>
        <v>0</v>
      </c>
      <c r="E13" s="35">
        <v>4</v>
      </c>
      <c r="F13" s="198">
        <f t="shared" si="1"/>
        <v>0</v>
      </c>
      <c r="G13" s="257"/>
      <c r="H13" s="1670"/>
      <c r="I13" s="1670"/>
    </row>
    <row r="14" spans="1:10" ht="15" customHeight="1" thickBot="1" x14ac:dyDescent="0.25">
      <c r="A14" s="1907"/>
      <c r="B14" s="1791"/>
      <c r="C14" s="232" t="str">
        <f>OF!C132</f>
        <v>&gt;2 km, or wetland lacks an inlet and outlet.</v>
      </c>
      <c r="D14" s="675">
        <f>OF!D132</f>
        <v>0</v>
      </c>
      <c r="E14" s="112">
        <v>6</v>
      </c>
      <c r="F14" s="198">
        <f t="shared" si="1"/>
        <v>0</v>
      </c>
      <c r="G14" s="257"/>
      <c r="H14" s="1671"/>
      <c r="I14" s="1671"/>
    </row>
    <row r="15" spans="1:10" ht="72" customHeight="1" thickBot="1" x14ac:dyDescent="0.25">
      <c r="A15" s="336" t="str">
        <f>OF!A133</f>
        <v>OF27</v>
      </c>
      <c r="B15" s="60" t="str">
        <f>OF!B133</f>
        <v>Growing Degree Days</v>
      </c>
      <c r="C15" s="336" t="str">
        <f>OF!C133</f>
        <v>In Google Earth, open the KMZ file that accompanies this calculator, called NB-PEI_GrowingDegreeDays. Place your cursor over the AA and left-click. From the pop-up, enter the GRIDCODE in the next column.</v>
      </c>
      <c r="D15" s="140">
        <f>OF!D133</f>
        <v>0</v>
      </c>
      <c r="E15" s="1410"/>
      <c r="F15" s="360"/>
      <c r="G15" s="262" t="str">
        <f>IF((GrowD&lt;1),"",(GrowD-1305)/1328)</f>
        <v/>
      </c>
      <c r="H15" s="36" t="s">
        <v>1056</v>
      </c>
      <c r="I15" s="120" t="s">
        <v>352</v>
      </c>
    </row>
    <row r="16" spans="1:10" ht="30" customHeight="1" thickBot="1" x14ac:dyDescent="0.25">
      <c r="A16" s="1908" t="str">
        <f>F!A63</f>
        <v>F11</v>
      </c>
      <c r="B16" s="1886" t="str">
        <f>F!B63</f>
        <v>% Bare Ground &amp; Thatch</v>
      </c>
      <c r="C16" s="339" t="str">
        <f>F!C63</f>
        <v>Consider the parts of the AA that lack surface water at the driest time of the growing season. Viewed from directly above the ground layer, the predominant condition in those areas at that time is:</v>
      </c>
      <c r="D16" s="193"/>
      <c r="E16" s="352"/>
      <c r="F16" s="194"/>
      <c r="G16" s="268">
        <f>MAX(F17:F20)/MAX(E17:E20)</f>
        <v>0</v>
      </c>
      <c r="H16" s="1670" t="s">
        <v>25</v>
      </c>
      <c r="I16" s="1669" t="s">
        <v>349</v>
      </c>
    </row>
    <row r="17" spans="1:9" ht="42" customHeight="1" x14ac:dyDescent="0.2">
      <c r="A17" s="1908"/>
      <c r="B17" s="1886"/>
      <c r="C17" s="69" t="str">
        <f>F!C64</f>
        <v>Little or no (&lt;5%) bare ground is visible between erect stems or under canopy anywhere in the vegetated AA. Ground is extensively blanketed by dense thatch, moss, lichens, graminoids with great stem densities, or plants with ground-hugging foliage. </v>
      </c>
      <c r="D17" s="134">
        <f>F!D64</f>
        <v>0</v>
      </c>
      <c r="E17" s="187">
        <v>5</v>
      </c>
      <c r="F17" s="196">
        <f>D17*E17</f>
        <v>0</v>
      </c>
      <c r="G17" s="274"/>
      <c r="H17" s="1670"/>
      <c r="I17" s="1670"/>
    </row>
    <row r="18" spans="1:9" ht="27" customHeight="1" x14ac:dyDescent="0.2">
      <c r="A18" s="1908"/>
      <c r="B18" s="1886"/>
      <c r="C18" s="37" t="str">
        <f>F!C65</f>
        <v>Slightly bare ground (5-20% bare between plants) is visible in places, but those areas comprise less than 5% of the unflooded parts of the AA.</v>
      </c>
      <c r="D18" s="122">
        <f>F!D65</f>
        <v>0</v>
      </c>
      <c r="E18" s="187">
        <v>4</v>
      </c>
      <c r="F18" s="196">
        <f>D18*E18</f>
        <v>0</v>
      </c>
      <c r="G18" s="271"/>
      <c r="H18" s="1670"/>
      <c r="I18" s="1670"/>
    </row>
    <row r="19" spans="1:9" ht="27" customHeight="1" x14ac:dyDescent="0.2">
      <c r="A19" s="1908"/>
      <c r="B19" s="1886"/>
      <c r="C19" s="37" t="str">
        <f>F!C66</f>
        <v>Much bare ground (20-50% bare between plants) is visible in places, and those areas comprise more than 5% of the unflooded parts of the AA. </v>
      </c>
      <c r="D19" s="122">
        <f>F!D66</f>
        <v>0</v>
      </c>
      <c r="E19" s="187">
        <v>2</v>
      </c>
      <c r="F19" s="196">
        <f>D19*E19</f>
        <v>0</v>
      </c>
      <c r="G19" s="271"/>
      <c r="H19" s="1670"/>
      <c r="I19" s="1670"/>
    </row>
    <row r="20" spans="1:9" ht="15" customHeight="1" thickBot="1" x14ac:dyDescent="0.25">
      <c r="A20" s="1908"/>
      <c r="B20" s="1886"/>
      <c r="C20" s="81" t="str">
        <f>F!C67</f>
        <v>Other conditions.</v>
      </c>
      <c r="D20" s="136">
        <f>F!D67</f>
        <v>0</v>
      </c>
      <c r="E20" s="190">
        <v>0</v>
      </c>
      <c r="F20" s="198">
        <f>D20*E20</f>
        <v>0</v>
      </c>
      <c r="G20" s="257"/>
      <c r="H20" s="1670"/>
      <c r="I20" s="1671"/>
    </row>
    <row r="21" spans="1:9" ht="60" customHeight="1" thickBot="1" x14ac:dyDescent="0.25">
      <c r="A21" s="1813" t="str">
        <f>F!A69</f>
        <v>F12</v>
      </c>
      <c r="B21" s="1816" t="str">
        <f>F!B69</f>
        <v xml:space="preserve">Ground Irregularity </v>
      </c>
      <c r="C21" s="226" t="str">
        <f>F!C69</f>
        <v>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v>
      </c>
      <c r="D21" s="348"/>
      <c r="E21" s="351"/>
      <c r="F21" s="350"/>
      <c r="G21" s="253">
        <f>MAX(F22:F24)/MAX(E22:E24)</f>
        <v>0</v>
      </c>
      <c r="H21" s="1693" t="s">
        <v>26</v>
      </c>
      <c r="I21" s="1669" t="s">
        <v>350</v>
      </c>
    </row>
    <row r="22" spans="1:9" ht="27" customHeight="1" x14ac:dyDescent="0.2">
      <c r="A22" s="1814"/>
      <c r="B22" s="1790"/>
      <c r="C22" s="69" t="str">
        <f>F!C70</f>
        <v>Few or none (minimal microtopography; &lt;1% of the land has such features, or entire AA is always water-covered).</v>
      </c>
      <c r="D22" s="134">
        <f>F!D70</f>
        <v>0</v>
      </c>
      <c r="E22" s="196">
        <v>0</v>
      </c>
      <c r="F22" s="196">
        <f>D22*E22</f>
        <v>0</v>
      </c>
      <c r="G22" s="274"/>
      <c r="H22" s="1696"/>
      <c r="I22" s="1670"/>
    </row>
    <row r="23" spans="1:9" ht="15" customHeight="1" x14ac:dyDescent="0.2">
      <c r="A23" s="1814"/>
      <c r="B23" s="1790"/>
      <c r="C23" s="37" t="str">
        <f>F!C71</f>
        <v>Intermediate.</v>
      </c>
      <c r="D23" s="122">
        <f>F!D71</f>
        <v>0</v>
      </c>
      <c r="E23" s="196">
        <v>1</v>
      </c>
      <c r="F23" s="196">
        <f>D23*E23</f>
        <v>0</v>
      </c>
      <c r="G23" s="271"/>
      <c r="H23" s="1696"/>
      <c r="I23" s="1670"/>
    </row>
    <row r="24" spans="1:9" ht="15.6" customHeight="1" thickBot="1" x14ac:dyDescent="0.25">
      <c r="A24" s="1815"/>
      <c r="B24" s="1791"/>
      <c r="C24" s="233" t="str">
        <f>F!C72</f>
        <v>Several (extensive micro-topography).</v>
      </c>
      <c r="D24" s="123">
        <f>F!D72</f>
        <v>0</v>
      </c>
      <c r="E24" s="349">
        <v>2</v>
      </c>
      <c r="F24" s="349">
        <f>D24*E24</f>
        <v>0</v>
      </c>
      <c r="G24" s="261"/>
      <c r="H24" s="1712"/>
      <c r="I24" s="1671"/>
    </row>
    <row r="25" spans="1:9" ht="30" customHeight="1" thickBot="1" x14ac:dyDescent="0.25">
      <c r="A25" s="1817" t="str">
        <f>F!A140</f>
        <v>F27</v>
      </c>
      <c r="B25" s="1790" t="str">
        <f>F!B140</f>
        <v>% of AA that is Flooded Only Seasonally</v>
      </c>
      <c r="C25" s="339" t="str">
        <f>F!C140</f>
        <v>The percentage of the AA's area that is between the annual high water and the annual low water (surface water) is:</v>
      </c>
      <c r="D25" s="348"/>
      <c r="E25" s="352"/>
      <c r="F25" s="194"/>
      <c r="G25" s="268">
        <f>IF((AllSat1&gt;0),"",MAX(F26:F30)/MAX(E26:E30))</f>
        <v>0</v>
      </c>
      <c r="H25" s="1670" t="s">
        <v>2341</v>
      </c>
      <c r="I25" s="1669" t="s">
        <v>342</v>
      </c>
    </row>
    <row r="26" spans="1:9" ht="15" customHeight="1" x14ac:dyDescent="0.2">
      <c r="A26" s="1817"/>
      <c r="B26" s="1790"/>
      <c r="C26" s="69" t="str">
        <f>F!C141</f>
        <v>None, or &lt;0.01 hectare and &lt;1% of the AA.  SKIP to F29.</v>
      </c>
      <c r="D26" s="134">
        <f>F!D141</f>
        <v>0</v>
      </c>
      <c r="E26" s="196">
        <v>0</v>
      </c>
      <c r="F26" s="196">
        <f>D26*E26</f>
        <v>0</v>
      </c>
      <c r="G26" s="274"/>
      <c r="H26" s="1670"/>
      <c r="I26" s="1670"/>
    </row>
    <row r="27" spans="1:9" ht="15" customHeight="1" x14ac:dyDescent="0.2">
      <c r="A27" s="1817"/>
      <c r="B27" s="1790"/>
      <c r="C27" s="37" t="str">
        <f>F!C142</f>
        <v>1-20% of the AA, or &lt;1% but &gt;0.01 ha.</v>
      </c>
      <c r="D27" s="122">
        <f>F!D142</f>
        <v>0</v>
      </c>
      <c r="E27" s="196">
        <v>1</v>
      </c>
      <c r="F27" s="196">
        <f>D27*E27</f>
        <v>0</v>
      </c>
      <c r="G27" s="271"/>
      <c r="H27" s="1670"/>
      <c r="I27" s="1670"/>
    </row>
    <row r="28" spans="1:9" ht="15" customHeight="1" x14ac:dyDescent="0.2">
      <c r="A28" s="1817"/>
      <c r="B28" s="1790"/>
      <c r="C28" s="37" t="str">
        <f>F!C143</f>
        <v>20-50% of the AA.</v>
      </c>
      <c r="D28" s="122">
        <f>F!D143</f>
        <v>0</v>
      </c>
      <c r="E28" s="196">
        <v>2</v>
      </c>
      <c r="F28" s="196">
        <f>D28*E28</f>
        <v>0</v>
      </c>
      <c r="G28" s="271"/>
      <c r="H28" s="1670"/>
      <c r="I28" s="1670"/>
    </row>
    <row r="29" spans="1:9" ht="15" customHeight="1" x14ac:dyDescent="0.2">
      <c r="A29" s="1817"/>
      <c r="B29" s="1790"/>
      <c r="C29" s="37" t="str">
        <f>F!C144</f>
        <v>50-95% of the AA.</v>
      </c>
      <c r="D29" s="122">
        <f>F!D144</f>
        <v>0</v>
      </c>
      <c r="E29" s="196">
        <v>3</v>
      </c>
      <c r="F29" s="196">
        <f>D29*E29</f>
        <v>0</v>
      </c>
      <c r="G29" s="271"/>
      <c r="H29" s="1670"/>
      <c r="I29" s="1670"/>
    </row>
    <row r="30" spans="1:9" ht="15.6" customHeight="1" thickBot="1" x14ac:dyDescent="0.25">
      <c r="A30" s="1817"/>
      <c r="B30" s="1790"/>
      <c r="C30" s="81" t="str">
        <f>F!C145</f>
        <v xml:space="preserve">&gt;95% of the AA. </v>
      </c>
      <c r="D30" s="136">
        <f>F!D145</f>
        <v>0</v>
      </c>
      <c r="E30" s="198">
        <v>4</v>
      </c>
      <c r="F30" s="198">
        <f>D30*E30</f>
        <v>0</v>
      </c>
      <c r="G30" s="257"/>
      <c r="H30" s="1670"/>
      <c r="I30" s="1671"/>
    </row>
    <row r="31" spans="1:9" ht="30" customHeight="1" thickBot="1" x14ac:dyDescent="0.25">
      <c r="A31" s="1836" t="str">
        <f>F!A146</f>
        <v>F28</v>
      </c>
      <c r="B31" s="1825" t="str">
        <f>F!B146</f>
        <v>Annual Water Fluctuation Range</v>
      </c>
      <c r="C31" s="340" t="str">
        <f>F!C146</f>
        <v>The annual fluctuation in surface water level within most of the parts of the AA that contain surface water at least temporarily is:</v>
      </c>
      <c r="D31" s="348"/>
      <c r="E31" s="351"/>
      <c r="F31" s="351"/>
      <c r="G31" s="262">
        <f>IF((AllSat1&gt;0),"",IF((NoSeasonal=1),"",MAX(F32:F36)/MAX(E32:E36)))</f>
        <v>0</v>
      </c>
      <c r="H31" s="1669" t="s">
        <v>1174</v>
      </c>
      <c r="I31" s="1669" t="s">
        <v>341</v>
      </c>
    </row>
    <row r="32" spans="1:9" ht="15" customHeight="1" x14ac:dyDescent="0.2">
      <c r="A32" s="1901"/>
      <c r="B32" s="1824"/>
      <c r="C32" s="341" t="str">
        <f>F!C147</f>
        <v>&lt;10 cm change (stable or nearly so).</v>
      </c>
      <c r="D32" s="137">
        <f>F!D147</f>
        <v>0</v>
      </c>
      <c r="E32" s="196">
        <v>1</v>
      </c>
      <c r="F32" s="196">
        <f>D32*E32</f>
        <v>0</v>
      </c>
      <c r="G32" s="264"/>
      <c r="H32" s="1670"/>
      <c r="I32" s="1670"/>
    </row>
    <row r="33" spans="1:9" ht="15" customHeight="1" x14ac:dyDescent="0.2">
      <c r="A33" s="1901"/>
      <c r="B33" s="1824"/>
      <c r="C33" s="342" t="str">
        <f>F!C148</f>
        <v>10 cm - 50 cm change.</v>
      </c>
      <c r="D33" s="138">
        <f>F!D148</f>
        <v>0</v>
      </c>
      <c r="E33" s="196">
        <v>2</v>
      </c>
      <c r="F33" s="196">
        <f>D33*E33</f>
        <v>0</v>
      </c>
      <c r="G33" s="264"/>
      <c r="H33" s="1670"/>
      <c r="I33" s="1670"/>
    </row>
    <row r="34" spans="1:9" ht="15" customHeight="1" x14ac:dyDescent="0.2">
      <c r="A34" s="1901"/>
      <c r="B34" s="1824"/>
      <c r="C34" s="342" t="str">
        <f>F!C149</f>
        <v>0.5 - 1 m change.</v>
      </c>
      <c r="D34" s="138">
        <f>F!D149</f>
        <v>0</v>
      </c>
      <c r="E34" s="196">
        <v>3</v>
      </c>
      <c r="F34" s="196">
        <f>D34*E34</f>
        <v>0</v>
      </c>
      <c r="G34" s="264"/>
      <c r="H34" s="1670"/>
      <c r="I34" s="1670"/>
    </row>
    <row r="35" spans="1:9" ht="15" customHeight="1" x14ac:dyDescent="0.2">
      <c r="A35" s="1901"/>
      <c r="B35" s="1824"/>
      <c r="C35" s="342" t="str">
        <f>F!C150</f>
        <v>1-2 m change.</v>
      </c>
      <c r="D35" s="138">
        <f>F!D150</f>
        <v>0</v>
      </c>
      <c r="E35" s="196">
        <v>4</v>
      </c>
      <c r="F35" s="196">
        <f>D35*E35</f>
        <v>0</v>
      </c>
      <c r="G35" s="264"/>
      <c r="H35" s="1670"/>
      <c r="I35" s="1670"/>
    </row>
    <row r="36" spans="1:9" ht="15.6" customHeight="1" thickBot="1" x14ac:dyDescent="0.25">
      <c r="A36" s="1902"/>
      <c r="B36" s="1835"/>
      <c r="C36" s="343" t="str">
        <f>F!C151</f>
        <v>&gt;2 m change.</v>
      </c>
      <c r="D36" s="139">
        <f>F!D151</f>
        <v>0</v>
      </c>
      <c r="E36" s="349">
        <v>4</v>
      </c>
      <c r="F36" s="349">
        <f>D36*E36</f>
        <v>0</v>
      </c>
      <c r="G36" s="266"/>
      <c r="H36" s="1671"/>
      <c r="I36" s="1671"/>
    </row>
    <row r="37" spans="1:9" ht="30" customHeight="1" thickBot="1" x14ac:dyDescent="0.25">
      <c r="A37" s="1817" t="str">
        <f>F!A153</f>
        <v>F29</v>
      </c>
      <c r="B37" s="1886" t="str">
        <f>F!B153</f>
        <v>Predominant Depth Class</v>
      </c>
      <c r="C37" s="339" t="str">
        <f>F!C153</f>
        <v>During most of the time when surface water is present during the growing season, its depth, averaged over the entire inundated part of the AA, is:</v>
      </c>
      <c r="D37" s="193"/>
      <c r="E37" s="352"/>
      <c r="F37" s="194"/>
      <c r="G37" s="353">
        <f>IF((AllSat1&gt;0),"",MAX(F38:F42)/MAX(E38:E42))</f>
        <v>0</v>
      </c>
      <c r="H37" s="1670" t="s">
        <v>1175</v>
      </c>
      <c r="I37" s="1669" t="s">
        <v>344</v>
      </c>
    </row>
    <row r="38" spans="1:9" ht="15" customHeight="1" x14ac:dyDescent="0.2">
      <c r="A38" s="1817"/>
      <c r="B38" s="1886"/>
      <c r="C38" s="69" t="str">
        <f>F!C154</f>
        <v>&lt;10 cm deep (but &gt;0).</v>
      </c>
      <c r="D38" s="134">
        <f>F!D154</f>
        <v>0</v>
      </c>
      <c r="E38" s="196">
        <v>1</v>
      </c>
      <c r="F38" s="196">
        <f>D38*E38</f>
        <v>0</v>
      </c>
      <c r="G38" s="274"/>
      <c r="H38" s="1670"/>
      <c r="I38" s="1670"/>
    </row>
    <row r="39" spans="1:9" ht="15" customHeight="1" x14ac:dyDescent="0.2">
      <c r="A39" s="1817"/>
      <c r="B39" s="1886"/>
      <c r="C39" s="37" t="str">
        <f>F!C155</f>
        <v>10 - 50 cm deep.</v>
      </c>
      <c r="D39" s="122">
        <f>F!D155</f>
        <v>0</v>
      </c>
      <c r="E39" s="196">
        <v>2</v>
      </c>
      <c r="F39" s="196">
        <f>D39*E39</f>
        <v>0</v>
      </c>
      <c r="G39" s="271"/>
      <c r="H39" s="1670"/>
      <c r="I39" s="1670"/>
    </row>
    <row r="40" spans="1:9" ht="15" customHeight="1" x14ac:dyDescent="0.2">
      <c r="A40" s="1817"/>
      <c r="B40" s="1886"/>
      <c r="C40" s="37" t="str">
        <f>F!C156</f>
        <v>0.5 - 1 m deep.</v>
      </c>
      <c r="D40" s="122">
        <f>F!D156</f>
        <v>0</v>
      </c>
      <c r="E40" s="196">
        <v>3</v>
      </c>
      <c r="F40" s="196">
        <f>D40*E40</f>
        <v>0</v>
      </c>
      <c r="G40" s="271"/>
      <c r="H40" s="1670"/>
      <c r="I40" s="1670"/>
    </row>
    <row r="41" spans="1:9" ht="15" customHeight="1" x14ac:dyDescent="0.2">
      <c r="A41" s="1817"/>
      <c r="B41" s="1886"/>
      <c r="C41" s="37" t="str">
        <f>F!C157</f>
        <v>1 - 2 m deep.</v>
      </c>
      <c r="D41" s="122">
        <f>F!D157</f>
        <v>0</v>
      </c>
      <c r="E41" s="196">
        <v>4</v>
      </c>
      <c r="F41" s="196">
        <f>D41*E41</f>
        <v>0</v>
      </c>
      <c r="G41" s="271"/>
      <c r="H41" s="1670"/>
      <c r="I41" s="1670"/>
    </row>
    <row r="42" spans="1:9" ht="15.6" customHeight="1" thickBot="1" x14ac:dyDescent="0.25">
      <c r="A42" s="1817"/>
      <c r="B42" s="1886"/>
      <c r="C42" s="81" t="str">
        <f>F!C158</f>
        <v>&gt;2 m deep. True for many fringe wetlands.</v>
      </c>
      <c r="D42" s="136">
        <f>F!D158</f>
        <v>0</v>
      </c>
      <c r="E42" s="198">
        <v>5</v>
      </c>
      <c r="F42" s="198">
        <f>D42*E42</f>
        <v>0</v>
      </c>
      <c r="G42" s="257"/>
      <c r="H42" s="1670"/>
      <c r="I42" s="1671"/>
    </row>
    <row r="43" spans="1:9" ht="45" customHeight="1" thickBot="1" x14ac:dyDescent="0.25">
      <c r="A43" s="1836" t="str">
        <f>F!A163</f>
        <v>F31</v>
      </c>
      <c r="B43" s="1825" t="str">
        <f>F!B163</f>
        <v>% of Water That Is Ponded (not Flowing)</v>
      </c>
      <c r="C43" s="226" t="str">
        <f>F!C163</f>
        <v>During most times when surface water is present, the percentage that is (1) ponded (stagnant, or flows so slowly that fine sediment is not held in suspension) AND (2) is likely to be deeper than 0.5 m in some places, is:</v>
      </c>
      <c r="D43" s="348"/>
      <c r="E43" s="351"/>
      <c r="F43" s="350"/>
      <c r="G43" s="253">
        <f>IF((AllSat1&gt;0),"",MAX(F44:F48)/MAX(E44:E48))</f>
        <v>0</v>
      </c>
      <c r="H43" s="1693" t="s">
        <v>1808</v>
      </c>
      <c r="I43" s="1669" t="s">
        <v>1661</v>
      </c>
    </row>
    <row r="44" spans="1:9" ht="15" customHeight="1" x14ac:dyDescent="0.2">
      <c r="A44" s="1814"/>
      <c r="B44" s="1790"/>
      <c r="C44" s="69" t="str">
        <f>F!C164</f>
        <v>&lt;5% of the water, or it occupies &lt;100 sq.m cumulatively. Nearly all the surface water is flowing. SKIP to F34.</v>
      </c>
      <c r="D44" s="674">
        <f>F!D164</f>
        <v>0</v>
      </c>
      <c r="E44" s="196">
        <v>0</v>
      </c>
      <c r="F44" s="196">
        <f>D44*E44</f>
        <v>0</v>
      </c>
      <c r="G44" s="271"/>
      <c r="H44" s="1696"/>
      <c r="I44" s="1670"/>
    </row>
    <row r="45" spans="1:9" ht="15" customHeight="1" x14ac:dyDescent="0.2">
      <c r="A45" s="1814"/>
      <c r="B45" s="1790"/>
      <c r="C45" s="37" t="str">
        <f>F!C165</f>
        <v>5-30% of the water.</v>
      </c>
      <c r="D45" s="675">
        <f>F!D165</f>
        <v>0</v>
      </c>
      <c r="E45" s="196">
        <v>1</v>
      </c>
      <c r="F45" s="196">
        <f>D45*E45</f>
        <v>0</v>
      </c>
      <c r="G45" s="271"/>
      <c r="H45" s="1696"/>
      <c r="I45" s="1670"/>
    </row>
    <row r="46" spans="1:9" ht="15" customHeight="1" x14ac:dyDescent="0.2">
      <c r="A46" s="1814"/>
      <c r="B46" s="1790"/>
      <c r="C46" s="37" t="str">
        <f>F!C166</f>
        <v>30-70% of the water.</v>
      </c>
      <c r="D46" s="675">
        <f>F!D166</f>
        <v>0</v>
      </c>
      <c r="E46" s="196">
        <v>2</v>
      </c>
      <c r="F46" s="196">
        <f>D46*E46</f>
        <v>0</v>
      </c>
      <c r="G46" s="257"/>
      <c r="H46" s="1696"/>
      <c r="I46" s="1670"/>
    </row>
    <row r="47" spans="1:9" ht="15" customHeight="1" x14ac:dyDescent="0.2">
      <c r="A47" s="1814"/>
      <c r="B47" s="1790"/>
      <c r="C47" s="37" t="str">
        <f>F!C167</f>
        <v>70-95% of the water.</v>
      </c>
      <c r="D47" s="675">
        <f>F!D167</f>
        <v>0</v>
      </c>
      <c r="E47" s="196">
        <v>3</v>
      </c>
      <c r="F47" s="196">
        <f>D47*E47</f>
        <v>0</v>
      </c>
      <c r="G47" s="257"/>
      <c r="H47" s="1696"/>
      <c r="I47" s="1670"/>
    </row>
    <row r="48" spans="1:9" ht="15.6" customHeight="1" thickBot="1" x14ac:dyDescent="0.25">
      <c r="A48" s="1815"/>
      <c r="B48" s="1791"/>
      <c r="C48" s="233" t="str">
        <f>F!C168</f>
        <v>&gt;95% of the water.</v>
      </c>
      <c r="D48" s="691">
        <f>F!D168</f>
        <v>0</v>
      </c>
      <c r="E48" s="349">
        <v>4</v>
      </c>
      <c r="F48" s="349">
        <f>D48*E48</f>
        <v>0</v>
      </c>
      <c r="G48" s="261"/>
      <c r="H48" s="1712"/>
      <c r="I48" s="1671"/>
    </row>
    <row r="49" spans="1:9" ht="30" customHeight="1" thickBot="1" x14ac:dyDescent="0.25">
      <c r="A49" s="1816" t="str">
        <f>F!A170</f>
        <v>F33</v>
      </c>
      <c r="B49" s="1816" t="str">
        <f>F!B170</f>
        <v xml:space="preserve">% of Ponded Water that is Open </v>
      </c>
      <c r="C49" s="59" t="str">
        <f>F!C170</f>
        <v>In ducks-eye aerial view, the percentage of the ponded water that is open (lacking emergent vegetation during most of the growing season, and unhidden by a forest or shrub canopy) is:</v>
      </c>
      <c r="D49" s="879"/>
      <c r="E49" s="351"/>
      <c r="F49" s="350"/>
      <c r="G49" s="253">
        <f>IF((AllSat1&gt;0),"",IF((NoPonded=1),"",MAX(F50:F55)/MAX(E50:E55)))</f>
        <v>0</v>
      </c>
      <c r="H49" s="1669" t="s">
        <v>1809</v>
      </c>
      <c r="I49" s="1669" t="s">
        <v>343</v>
      </c>
    </row>
    <row r="50" spans="1:9" ht="27" customHeight="1" x14ac:dyDescent="0.2">
      <c r="A50" s="1790"/>
      <c r="B50" s="1790"/>
      <c r="C50" s="69" t="str">
        <f>F!C171</f>
        <v>None, or &lt;1% of the AA and largest pool occupies &lt;0.01 hectares. Enter "1" and SKIP to F41 (Floating Algae &amp; Duckweed).</v>
      </c>
      <c r="D50" s="122">
        <f>F!D171</f>
        <v>0</v>
      </c>
      <c r="E50" s="196">
        <v>5</v>
      </c>
      <c r="F50" s="196">
        <f t="shared" ref="F50:F55" si="2">D50*E50</f>
        <v>0</v>
      </c>
      <c r="G50" s="274"/>
      <c r="H50" s="1670"/>
      <c r="I50" s="1670"/>
    </row>
    <row r="51" spans="1:9" ht="15" customHeight="1" x14ac:dyDescent="0.2">
      <c r="A51" s="1790"/>
      <c r="B51" s="1790"/>
      <c r="C51" s="37" t="str">
        <f>F!C172</f>
        <v>1-4% of the ponded water. Enter "1" and SKIP to F41 (Floating Algae &amp; Duckweed).</v>
      </c>
      <c r="D51" s="122">
        <f>F!D172</f>
        <v>0</v>
      </c>
      <c r="E51" s="196">
        <v>4</v>
      </c>
      <c r="F51" s="196">
        <f t="shared" si="2"/>
        <v>0</v>
      </c>
      <c r="G51" s="271"/>
      <c r="H51" s="1670"/>
      <c r="I51" s="1670"/>
    </row>
    <row r="52" spans="1:9" ht="15" customHeight="1" x14ac:dyDescent="0.2">
      <c r="A52" s="1790"/>
      <c r="B52" s="1790"/>
      <c r="C52" s="37" t="str">
        <f>F!C173</f>
        <v>5-30% of the ponded water.</v>
      </c>
      <c r="D52" s="122">
        <f>F!D173</f>
        <v>0</v>
      </c>
      <c r="E52" s="196">
        <v>3</v>
      </c>
      <c r="F52" s="196">
        <f t="shared" si="2"/>
        <v>0</v>
      </c>
      <c r="G52" s="271"/>
      <c r="H52" s="1670"/>
      <c r="I52" s="1670"/>
    </row>
    <row r="53" spans="1:9" ht="15" customHeight="1" x14ac:dyDescent="0.2">
      <c r="A53" s="1790"/>
      <c r="B53" s="1790"/>
      <c r="C53" s="37" t="str">
        <f>F!C174</f>
        <v>30-70% of the ponded water.</v>
      </c>
      <c r="D53" s="122">
        <f>F!D174</f>
        <v>0</v>
      </c>
      <c r="E53" s="196">
        <v>2</v>
      </c>
      <c r="F53" s="196">
        <f t="shared" si="2"/>
        <v>0</v>
      </c>
      <c r="G53" s="271"/>
      <c r="H53" s="1670"/>
      <c r="I53" s="1670"/>
    </row>
    <row r="54" spans="1:9" ht="15" customHeight="1" x14ac:dyDescent="0.2">
      <c r="A54" s="1790"/>
      <c r="B54" s="1790"/>
      <c r="C54" s="37" t="str">
        <f>F!C175</f>
        <v>70-99% of the ponded water.</v>
      </c>
      <c r="D54" s="122">
        <f>F!D175</f>
        <v>0</v>
      </c>
      <c r="E54" s="196">
        <v>1</v>
      </c>
      <c r="F54" s="196">
        <f t="shared" si="2"/>
        <v>0</v>
      </c>
      <c r="G54" s="271"/>
      <c r="H54" s="1670"/>
      <c r="I54" s="1670"/>
    </row>
    <row r="55" spans="1:9" ht="15.6" customHeight="1" thickBot="1" x14ac:dyDescent="0.25">
      <c r="A55" s="1791"/>
      <c r="B55" s="1791"/>
      <c r="C55" s="233" t="str">
        <f>F!C176</f>
        <v xml:space="preserve">100% of the ponded water. </v>
      </c>
      <c r="D55" s="123">
        <f>F!D176</f>
        <v>0</v>
      </c>
      <c r="E55" s="349">
        <v>0</v>
      </c>
      <c r="F55" s="349">
        <f t="shared" si="2"/>
        <v>0</v>
      </c>
      <c r="G55" s="261"/>
      <c r="H55" s="1671"/>
      <c r="I55" s="1671"/>
    </row>
    <row r="56" spans="1:9" ht="30" customHeight="1" thickBot="1" x14ac:dyDescent="0.25">
      <c r="A56" s="1895" t="str">
        <f>F!A177</f>
        <v>F34</v>
      </c>
      <c r="B56" s="1903" t="str">
        <f>F!B177</f>
        <v>Width of Vegetated Zone within Wetland</v>
      </c>
      <c r="C56" s="339" t="str">
        <f>F!C177</f>
        <v>At the time during the growing season when the AA's water level is lowest, the average width of vegetated area in the AA that separates adjoining uplands from open water within the AA is:</v>
      </c>
      <c r="D56" s="193"/>
      <c r="E56" s="352"/>
      <c r="F56" s="194"/>
      <c r="G56" s="268">
        <f>IF((AllSat1&gt;0),"",IF((NoOpenPonded=1),"",(MAX(F57:F62)/MAX(E57:E62))))</f>
        <v>0</v>
      </c>
      <c r="H56" s="1670" t="s">
        <v>1810</v>
      </c>
      <c r="I56" s="1669" t="s">
        <v>345</v>
      </c>
    </row>
    <row r="57" spans="1:9" ht="21" customHeight="1" x14ac:dyDescent="0.2">
      <c r="A57" s="1896"/>
      <c r="B57" s="1896"/>
      <c r="C57" s="69" t="str">
        <f>F!C178</f>
        <v>&lt;1 m.</v>
      </c>
      <c r="D57" s="134">
        <f>F!D178</f>
        <v>0</v>
      </c>
      <c r="E57" s="196">
        <v>0</v>
      </c>
      <c r="F57" s="196">
        <f t="shared" ref="F57:F62" si="3">D57*E57</f>
        <v>0</v>
      </c>
      <c r="G57" s="274"/>
      <c r="H57" s="1670"/>
      <c r="I57" s="1670"/>
    </row>
    <row r="58" spans="1:9" ht="21" customHeight="1" x14ac:dyDescent="0.2">
      <c r="A58" s="1896"/>
      <c r="B58" s="1896"/>
      <c r="C58" s="69" t="str">
        <f>F!C179</f>
        <v>1 - 9 m.</v>
      </c>
      <c r="D58" s="134">
        <f>F!D179</f>
        <v>0</v>
      </c>
      <c r="E58" s="196">
        <v>2</v>
      </c>
      <c r="F58" s="196">
        <f t="shared" si="3"/>
        <v>0</v>
      </c>
      <c r="G58" s="271"/>
      <c r="H58" s="1670"/>
      <c r="I58" s="1670"/>
    </row>
    <row r="59" spans="1:9" ht="21" customHeight="1" x14ac:dyDescent="0.2">
      <c r="A59" s="1896"/>
      <c r="B59" s="1896"/>
      <c r="C59" s="69" t="str">
        <f>F!C180</f>
        <v>10 - 29 m.</v>
      </c>
      <c r="D59" s="134">
        <f>F!D180</f>
        <v>0</v>
      </c>
      <c r="E59" s="196">
        <v>3</v>
      </c>
      <c r="F59" s="196">
        <f t="shared" si="3"/>
        <v>0</v>
      </c>
      <c r="G59" s="271"/>
      <c r="H59" s="1670"/>
      <c r="I59" s="1670"/>
    </row>
    <row r="60" spans="1:9" ht="21" customHeight="1" x14ac:dyDescent="0.2">
      <c r="A60" s="1896"/>
      <c r="B60" s="1896"/>
      <c r="C60" s="69" t="str">
        <f>F!C181</f>
        <v>30 - 49 m.</v>
      </c>
      <c r="D60" s="134">
        <f>F!D181</f>
        <v>0</v>
      </c>
      <c r="E60" s="196">
        <v>4</v>
      </c>
      <c r="F60" s="196">
        <f t="shared" si="3"/>
        <v>0</v>
      </c>
      <c r="G60" s="271"/>
      <c r="H60" s="1670"/>
      <c r="I60" s="1670"/>
    </row>
    <row r="61" spans="1:9" ht="21" customHeight="1" x14ac:dyDescent="0.2">
      <c r="A61" s="1896"/>
      <c r="B61" s="1896"/>
      <c r="C61" s="69" t="str">
        <f>F!C182</f>
        <v>50 - 100 m.</v>
      </c>
      <c r="D61" s="134">
        <f>F!D182</f>
        <v>0</v>
      </c>
      <c r="E61" s="196">
        <v>5</v>
      </c>
      <c r="F61" s="196">
        <f t="shared" si="3"/>
        <v>0</v>
      </c>
      <c r="G61" s="271"/>
      <c r="H61" s="1670"/>
      <c r="I61" s="1670"/>
    </row>
    <row r="62" spans="1:9" ht="21" customHeight="1" thickBot="1" x14ac:dyDescent="0.25">
      <c r="A62" s="1897"/>
      <c r="B62" s="1904"/>
      <c r="C62" s="69" t="str">
        <f>F!C183</f>
        <v>&gt; 100 m, or open water is absent at that time.</v>
      </c>
      <c r="D62" s="134">
        <f>F!D183</f>
        <v>0</v>
      </c>
      <c r="E62" s="198">
        <v>7</v>
      </c>
      <c r="F62" s="198">
        <f t="shared" si="3"/>
        <v>0</v>
      </c>
      <c r="G62" s="257"/>
      <c r="H62" s="1670"/>
      <c r="I62" s="1671"/>
    </row>
    <row r="63" spans="1:9" ht="30" customHeight="1" thickBot="1" x14ac:dyDescent="0.25">
      <c r="A63" s="1813" t="str">
        <f>F!A184</f>
        <v>F35</v>
      </c>
      <c r="B63" s="1816" t="str">
        <f>F!B184</f>
        <v>Flat Shoreline Extent</v>
      </c>
      <c r="C63" s="226" t="str">
        <f>F!C184</f>
        <v>During most of the part of the growing season when water is present, the percentage of the AA's water edge length that is nearly flat (a slope less than about 5% measured within 5 m landward of the water) is:</v>
      </c>
      <c r="D63" s="348"/>
      <c r="E63" s="351"/>
      <c r="F63" s="351"/>
      <c r="G63" s="346">
        <f>IF((AllSat1&gt;0),"",IF((NoOpenPonded=1),"",MAX(F64:F68)/MAX(E64:E68)))</f>
        <v>0</v>
      </c>
      <c r="H63" s="1669" t="s">
        <v>1445</v>
      </c>
      <c r="I63" s="1669" t="s">
        <v>2850</v>
      </c>
    </row>
    <row r="64" spans="1:9" ht="15" customHeight="1" x14ac:dyDescent="0.2">
      <c r="A64" s="1814"/>
      <c r="B64" s="1790"/>
      <c r="C64" s="69" t="str">
        <f>F!C185</f>
        <v>&lt;1% of the water edge.</v>
      </c>
      <c r="D64" s="134">
        <f>F!D185</f>
        <v>0</v>
      </c>
      <c r="E64" s="196">
        <v>0</v>
      </c>
      <c r="F64" s="198">
        <f>D64*E64</f>
        <v>0</v>
      </c>
      <c r="G64" s="271"/>
      <c r="H64" s="1670"/>
      <c r="I64" s="1670"/>
    </row>
    <row r="65" spans="1:9" ht="15" customHeight="1" x14ac:dyDescent="0.2">
      <c r="A65" s="1814"/>
      <c r="B65" s="1790"/>
      <c r="C65" s="37" t="str">
        <f>F!C186</f>
        <v>1-25% of the water edge.</v>
      </c>
      <c r="D65" s="122">
        <f>F!D186</f>
        <v>0</v>
      </c>
      <c r="E65" s="196">
        <v>1</v>
      </c>
      <c r="F65" s="198">
        <f>D65*E65</f>
        <v>0</v>
      </c>
      <c r="G65" s="271"/>
      <c r="H65" s="1670"/>
      <c r="I65" s="1670"/>
    </row>
    <row r="66" spans="1:9" ht="15" customHeight="1" x14ac:dyDescent="0.2">
      <c r="A66" s="1814"/>
      <c r="B66" s="1790"/>
      <c r="C66" s="37" t="str">
        <f>F!C187</f>
        <v>25-50% of the water edge.</v>
      </c>
      <c r="D66" s="122">
        <f>F!D187</f>
        <v>0</v>
      </c>
      <c r="E66" s="196">
        <v>2</v>
      </c>
      <c r="F66" s="198">
        <f>D66*E66</f>
        <v>0</v>
      </c>
      <c r="G66" s="271"/>
      <c r="H66" s="1670"/>
      <c r="I66" s="1670"/>
    </row>
    <row r="67" spans="1:9" ht="15" customHeight="1" x14ac:dyDescent="0.2">
      <c r="A67" s="1814"/>
      <c r="B67" s="1790"/>
      <c r="C67" s="37" t="str">
        <f>F!C188</f>
        <v>50-75% of the water edge.</v>
      </c>
      <c r="D67" s="122">
        <f>F!D188</f>
        <v>0</v>
      </c>
      <c r="E67" s="196">
        <v>3</v>
      </c>
      <c r="F67" s="198">
        <f>D67*E67</f>
        <v>0</v>
      </c>
      <c r="G67" s="271"/>
      <c r="H67" s="1670"/>
      <c r="I67" s="1670"/>
    </row>
    <row r="68" spans="1:9" ht="15.6" customHeight="1" thickBot="1" x14ac:dyDescent="0.25">
      <c r="A68" s="1815"/>
      <c r="B68" s="1791"/>
      <c r="C68" s="233" t="str">
        <f>F!C189</f>
        <v>&gt;75% of the water edge.</v>
      </c>
      <c r="D68" s="123">
        <f>F!D189</f>
        <v>0</v>
      </c>
      <c r="E68" s="349">
        <v>4</v>
      </c>
      <c r="F68" s="349">
        <f>D68*E68</f>
        <v>0</v>
      </c>
      <c r="G68" s="261"/>
      <c r="H68" s="1671"/>
      <c r="I68" s="1671"/>
    </row>
    <row r="69" spans="1:9" ht="30" customHeight="1" thickBot="1" x14ac:dyDescent="0.25">
      <c r="A69" s="1836" t="str">
        <f>F!A195</f>
        <v>F37</v>
      </c>
      <c r="B69" s="1825" t="str">
        <f>F!B195</f>
        <v>Interspersion of Emergents &amp; Open Water</v>
      </c>
      <c r="C69" s="344" t="str">
        <f>F!C195</f>
        <v>During most of the part of the growing season when water is present, the spatial pattern of emergent vegetation within the water is mostly:</v>
      </c>
      <c r="D69" s="348"/>
      <c r="E69" s="351"/>
      <c r="F69" s="350"/>
      <c r="G69" s="346">
        <f>IF((AllSat1&gt;0),"",IF((NoOpenPonded=1),"",IF((NoOpenPonded+NoOpenPonded1&gt;0),"",IF((AllOpenPond=1),"",IF((NoRobustEm=1),"",MAX(F70:F72)/MAX(E70:E72))))))</f>
        <v>0</v>
      </c>
      <c r="H69" s="1669" t="s">
        <v>1176</v>
      </c>
      <c r="I69" s="1669" t="s">
        <v>996</v>
      </c>
    </row>
    <row r="70" spans="1:9" ht="15" customHeight="1" x14ac:dyDescent="0.2">
      <c r="A70" s="1901"/>
      <c r="B70" s="1824"/>
      <c r="C70" s="341" t="str">
        <f>F!C196</f>
        <v>Scattered. More than 30% of such vegetation forms small islands or corridors surrounded by water.</v>
      </c>
      <c r="D70" s="137">
        <f>F!D196</f>
        <v>0</v>
      </c>
      <c r="E70" s="196">
        <v>2</v>
      </c>
      <c r="F70" s="196">
        <f>D70*E70</f>
        <v>0</v>
      </c>
      <c r="G70" s="271"/>
      <c r="H70" s="1670"/>
      <c r="I70" s="1670"/>
    </row>
    <row r="71" spans="1:9" ht="15" customHeight="1" x14ac:dyDescent="0.2">
      <c r="A71" s="1901"/>
      <c r="B71" s="1824"/>
      <c r="C71" s="342" t="str">
        <f>F!C197</f>
        <v>Intermediate.</v>
      </c>
      <c r="D71" s="138">
        <f>F!D197</f>
        <v>0</v>
      </c>
      <c r="E71" s="196">
        <v>1</v>
      </c>
      <c r="F71" s="196">
        <f>D71*E71</f>
        <v>0</v>
      </c>
      <c r="G71" s="271"/>
      <c r="H71" s="1670"/>
      <c r="I71" s="1670"/>
    </row>
    <row r="72" spans="1:9" ht="27" customHeight="1" thickBot="1" x14ac:dyDescent="0.25">
      <c r="A72" s="1902"/>
      <c r="B72" s="1835"/>
      <c r="C72" s="343" t="str">
        <f>F!C198</f>
        <v>Clumped. More than 70% of such vegetation is in bands along the wetland perimeter or is clumped at one or a few sides of the surface water area.</v>
      </c>
      <c r="D72" s="139">
        <f>F!D198</f>
        <v>0</v>
      </c>
      <c r="E72" s="349">
        <v>0</v>
      </c>
      <c r="F72" s="349">
        <f>D72*E72</f>
        <v>0</v>
      </c>
      <c r="G72" s="261"/>
      <c r="H72" s="1671"/>
      <c r="I72" s="1671"/>
    </row>
    <row r="73" spans="1:9" ht="69.75" customHeight="1" thickBot="1" x14ac:dyDescent="0.25">
      <c r="A73" s="1813" t="str">
        <f>F!A206</f>
        <v>F42</v>
      </c>
      <c r="B73" s="1885" t="str">
        <f>F!B206</f>
        <v>Channel Connection &amp; Outflow Duration</v>
      </c>
      <c r="C73" s="226" t="str">
        <f>F!C206</f>
        <v>The most persistent surface water connection (outlet channel or pipe, ditch, or overbank water exchange) between the AA and a downslope stream network is: [Note: If the AA represents only part of a wetland, answer this according to whichever is the least permanent surface connection: the one between the AA and the rest of the wetland, or the surface connection between the wetland and the downslope stream network.]</v>
      </c>
      <c r="D73" s="348"/>
      <c r="E73" s="351"/>
      <c r="F73" s="350"/>
      <c r="G73" s="253">
        <f>MAX(F74:F78)/MAX(E74:E78)</f>
        <v>0</v>
      </c>
      <c r="H73" s="1669" t="s">
        <v>1811</v>
      </c>
      <c r="I73" s="1669" t="s">
        <v>346</v>
      </c>
    </row>
    <row r="74" spans="1:9" ht="17.45" customHeight="1" x14ac:dyDescent="0.2">
      <c r="A74" s="1814"/>
      <c r="B74" s="1886"/>
      <c r="C74" s="69" t="str">
        <f>F!C207</f>
        <v>Persistent (surface water flows out for &gt;9 months/year).</v>
      </c>
      <c r="D74" s="134">
        <f>F!D207</f>
        <v>0</v>
      </c>
      <c r="E74" s="196">
        <v>1</v>
      </c>
      <c r="F74" s="196">
        <f>D74*E74</f>
        <v>0</v>
      </c>
      <c r="G74" s="274"/>
      <c r="H74" s="1670"/>
      <c r="I74" s="1670"/>
    </row>
    <row r="75" spans="1:9" ht="15" customHeight="1" x14ac:dyDescent="0.2">
      <c r="A75" s="1814"/>
      <c r="B75" s="1886"/>
      <c r="C75" s="37" t="str">
        <f>F!C208</f>
        <v>Seasonal (surface water flows out for 14 days to 9 months/year, not necessarily consecutive).</v>
      </c>
      <c r="D75" s="122">
        <f>F!D208</f>
        <v>0</v>
      </c>
      <c r="E75" s="196">
        <v>2</v>
      </c>
      <c r="F75" s="196">
        <f>D75*E75</f>
        <v>0</v>
      </c>
      <c r="G75" s="271"/>
      <c r="H75" s="1670"/>
      <c r="I75" s="1670"/>
    </row>
    <row r="76" spans="1:9" ht="17.25" customHeight="1" x14ac:dyDescent="0.2">
      <c r="A76" s="1814"/>
      <c r="B76" s="1886"/>
      <c r="C76" s="37" t="str">
        <f>F!C209</f>
        <v>Temporary (surface water flows out for &lt;14 days, not necessarily consecutive).</v>
      </c>
      <c r="D76" s="122">
        <f>F!D209</f>
        <v>0</v>
      </c>
      <c r="E76" s="196">
        <v>3</v>
      </c>
      <c r="F76" s="196">
        <f>D76*E76</f>
        <v>0</v>
      </c>
      <c r="G76" s="271"/>
      <c r="H76" s="1670"/>
      <c r="I76" s="1670"/>
    </row>
    <row r="77" spans="1:9" ht="27" customHeight="1" x14ac:dyDescent="0.2">
      <c r="A77" s="1814"/>
      <c r="B77" s="1886"/>
      <c r="C77" s="37" t="str">
        <f>F!C210</f>
        <v>None -- but maps show a stream network downslope from the AA and within a distance that is less than the AA's length. SKIP to F47 (pH Measurement).</v>
      </c>
      <c r="D77" s="122">
        <f>F!D210</f>
        <v>0</v>
      </c>
      <c r="E77" s="355">
        <v>6</v>
      </c>
      <c r="F77" s="196">
        <f>D77*E77</f>
        <v>0</v>
      </c>
      <c r="G77" s="257"/>
      <c r="H77" s="1670"/>
      <c r="I77" s="1670"/>
    </row>
    <row r="78" spans="1:9" ht="27" customHeight="1" thickBot="1" x14ac:dyDescent="0.25">
      <c r="A78" s="1815"/>
      <c r="B78" s="1887"/>
      <c r="C78" s="236" t="str">
        <f>F!C211</f>
        <v>No surface water flows out of the wetland except possibly during extreme events (&lt;once per 10 years). Or, water flows only into a wetland, ditch, or lake that lacks an outlet. SKIP to F47 (pH Measurement).</v>
      </c>
      <c r="D78" s="141">
        <f>F!D211</f>
        <v>0</v>
      </c>
      <c r="E78" s="349">
        <v>6</v>
      </c>
      <c r="F78" s="349">
        <f>D78*E78</f>
        <v>0</v>
      </c>
      <c r="G78" s="261"/>
      <c r="H78" s="1671"/>
      <c r="I78" s="1671"/>
    </row>
    <row r="79" spans="1:9" ht="30" customHeight="1" thickBot="1" x14ac:dyDescent="0.25">
      <c r="A79" s="1813" t="str">
        <f>F!A212</f>
        <v>F43</v>
      </c>
      <c r="B79" s="1816" t="str">
        <f>F!B212</f>
        <v xml:space="preserve">Outflow Confinement </v>
      </c>
      <c r="C79" s="226" t="str">
        <f>F!C212</f>
        <v>During major runoff events, in the places where surface water exits the AA or connected waters nearby, the water:</v>
      </c>
      <c r="D79" s="348"/>
      <c r="E79" s="351"/>
      <c r="F79" s="350"/>
      <c r="G79" s="253">
        <f>IF((OutNone+OutNone1&gt;0),"",MAX(F80:F82)/MAX(E80:E82))</f>
        <v>0</v>
      </c>
      <c r="H79" s="1693" t="s">
        <v>1812</v>
      </c>
      <c r="I79" s="1669" t="s">
        <v>347</v>
      </c>
    </row>
    <row r="80" spans="1:9" ht="42" customHeight="1" x14ac:dyDescent="0.2">
      <c r="A80" s="1814"/>
      <c r="B80" s="1790"/>
      <c r="C80" s="69" t="str">
        <f>F!C213</f>
        <v>Mostly passes through a pipe, culvert, narrowly breached dike, berm, beaver dam, or other partial obstruction (other than natural topography) that does not appear to drain the wetland artificially during most of the growing season.</v>
      </c>
      <c r="D80" s="134">
        <f>F!D213</f>
        <v>0</v>
      </c>
      <c r="E80" s="196">
        <v>2</v>
      </c>
      <c r="F80" s="196">
        <f>D80*E80</f>
        <v>0</v>
      </c>
      <c r="G80" s="274"/>
      <c r="H80" s="1696"/>
      <c r="I80" s="1670"/>
    </row>
    <row r="81" spans="1:10" ht="15" customHeight="1" x14ac:dyDescent="0.2">
      <c r="A81" s="1814"/>
      <c r="B81" s="1790"/>
      <c r="C81" s="37" t="str">
        <f>F!C214</f>
        <v>Leaves through natural exits (channels or diffuse outflow), not mainly through artificial or temporary features.</v>
      </c>
      <c r="D81" s="122">
        <f>F!D214</f>
        <v>0</v>
      </c>
      <c r="E81" s="196">
        <v>1</v>
      </c>
      <c r="F81" s="196">
        <f>D81*E81</f>
        <v>0</v>
      </c>
      <c r="G81" s="256"/>
      <c r="H81" s="1696"/>
      <c r="I81" s="1670"/>
    </row>
    <row r="82" spans="1:10" ht="27" customHeight="1" thickBot="1" x14ac:dyDescent="0.25">
      <c r="A82" s="1815"/>
      <c r="B82" s="1791"/>
      <c r="C82" s="233" t="str">
        <f>F!C215</f>
        <v>Is exported more quickly than usual due to ditches or pipes within the AA or connected to its outlet, or within 10 m of the AA's edge, which drain the wetland artificially, or water is pumped out of the AA.</v>
      </c>
      <c r="D82" s="123">
        <f>F!D215</f>
        <v>0</v>
      </c>
      <c r="E82" s="349">
        <v>0</v>
      </c>
      <c r="F82" s="349">
        <f>D82*E82</f>
        <v>0</v>
      </c>
      <c r="G82" s="261"/>
      <c r="H82" s="1712"/>
      <c r="I82" s="1671"/>
    </row>
    <row r="83" spans="1:10" ht="36" customHeight="1" thickBot="1" x14ac:dyDescent="0.25">
      <c r="A83" s="1898" t="str">
        <f>F!A218</f>
        <v>F46</v>
      </c>
      <c r="B83" s="1816" t="str">
        <f>F!B218</f>
        <v>Throughflow Resistance</v>
      </c>
      <c r="C83" s="339" t="str">
        <f>F!C218</f>
        <v>During its travel through the AA at the time of peak annual flow, water arriving in channels: [select only the ONE encountered by most of the incoming water].</v>
      </c>
      <c r="D83" s="348"/>
      <c r="E83" s="352"/>
      <c r="F83" s="194"/>
      <c r="G83" s="268">
        <f>IF(AND(Inflows=0,OutNone=1,OutNone1=1),"",(MAX(F84:F88)/MAX(E84:E88)))</f>
        <v>0</v>
      </c>
      <c r="H83" s="1669" t="s">
        <v>2249</v>
      </c>
      <c r="I83" s="1669" t="s">
        <v>348</v>
      </c>
    </row>
    <row r="84" spans="1:10" ht="45" customHeight="1" x14ac:dyDescent="0.2">
      <c r="A84" s="1899"/>
      <c r="B84" s="1790"/>
      <c r="C84" s="69" t="str">
        <f>F!C219</f>
        <v>Does not bump into many plant stems as it travels through the AA. Nearly all the water continues to travel in unvegetated (often incised) channels that have minimal contact with wetland vegetation, or through a zone of open water such as an instream pond or lake.</v>
      </c>
      <c r="D84" s="134">
        <f>F!D219</f>
        <v>0</v>
      </c>
      <c r="E84" s="196">
        <v>0</v>
      </c>
      <c r="F84" s="196">
        <f>D84*E84</f>
        <v>0</v>
      </c>
      <c r="G84" s="274"/>
      <c r="H84" s="1670"/>
      <c r="I84" s="1670"/>
    </row>
    <row r="85" spans="1:10" ht="18" customHeight="1" x14ac:dyDescent="0.2">
      <c r="A85" s="1899"/>
      <c r="B85" s="1790"/>
      <c r="C85" s="37" t="str">
        <f>F!C220</f>
        <v>Bumps into herbaceous vegetation but mostly remains in fairly straight channels.</v>
      </c>
      <c r="D85" s="122">
        <f>F!D220</f>
        <v>0</v>
      </c>
      <c r="E85" s="196">
        <v>3</v>
      </c>
      <c r="F85" s="196">
        <f>D85*E85</f>
        <v>0</v>
      </c>
      <c r="G85" s="271"/>
      <c r="H85" s="1670"/>
      <c r="I85" s="1670"/>
    </row>
    <row r="86" spans="1:10" ht="30" customHeight="1" x14ac:dyDescent="0.2">
      <c r="A86" s="1899"/>
      <c r="B86" s="1790"/>
      <c r="C86" s="37" t="str">
        <f>F!C221</f>
        <v>Bumps into herbaceous vegetation and mostly spreads throughout, or is in widely meandering, multi-branched, or braided channels.</v>
      </c>
      <c r="D86" s="122">
        <f>F!D221</f>
        <v>0</v>
      </c>
      <c r="E86" s="196">
        <v>6</v>
      </c>
      <c r="F86" s="196">
        <f>D86*E86</f>
        <v>0</v>
      </c>
      <c r="G86" s="271"/>
      <c r="H86" s="1670"/>
      <c r="I86" s="1670"/>
    </row>
    <row r="87" spans="1:10" ht="18" customHeight="1" x14ac:dyDescent="0.2">
      <c r="A87" s="1899"/>
      <c r="B87" s="1790"/>
      <c r="C87" s="37" t="str">
        <f>F!C222</f>
        <v>Bumps into tree trunks and/or shrub stems but mostly remains in fairly straight channels.</v>
      </c>
      <c r="D87" s="122">
        <f>F!D222</f>
        <v>0</v>
      </c>
      <c r="E87" s="196">
        <v>4</v>
      </c>
      <c r="F87" s="196">
        <f>D87*E87</f>
        <v>0</v>
      </c>
      <c r="G87" s="271"/>
      <c r="H87" s="1670"/>
      <c r="I87" s="1670"/>
    </row>
    <row r="88" spans="1:10" ht="33" customHeight="1" thickBot="1" x14ac:dyDescent="0.25">
      <c r="A88" s="1900"/>
      <c r="B88" s="1791"/>
      <c r="C88" s="81" t="str">
        <f>F!C223</f>
        <v>Bumps into tree trunks and/or shrub stems and follows a fairly indirect path from entrance to exit (meandering, multi-branched, or braided).</v>
      </c>
      <c r="D88" s="136">
        <f>F!D223</f>
        <v>0</v>
      </c>
      <c r="E88" s="198">
        <v>8</v>
      </c>
      <c r="F88" s="198">
        <f>D88*E88</f>
        <v>0</v>
      </c>
      <c r="G88" s="257"/>
      <c r="H88" s="1671"/>
      <c r="I88" s="1671"/>
    </row>
    <row r="89" spans="1:10" s="2" customFormat="1" ht="21" customHeight="1" thickBot="1" x14ac:dyDescent="0.25">
      <c r="A89" s="1721" t="str">
        <f>F!A241</f>
        <v>F51</v>
      </c>
      <c r="B89" s="1669" t="str">
        <f>F!B241</f>
        <v>Internal Gradient</v>
      </c>
      <c r="C89" s="842" t="str">
        <f>F!C241</f>
        <v>The gradient along most of the flow path within the AA is:</v>
      </c>
      <c r="D89" s="600"/>
      <c r="E89" s="191"/>
      <c r="F89" s="192"/>
      <c r="G89" s="327">
        <f>MAX(F90:F93)/MAX(E90:E93)</f>
        <v>0</v>
      </c>
      <c r="H89" s="1693"/>
      <c r="I89" s="1669" t="s">
        <v>351</v>
      </c>
      <c r="J89" s="57"/>
    </row>
    <row r="90" spans="1:10" s="2" customFormat="1" ht="15" customHeight="1" x14ac:dyDescent="0.2">
      <c r="A90" s="1703"/>
      <c r="B90" s="1703"/>
      <c r="C90" s="813" t="str">
        <f>F!C242</f>
        <v>&lt;2% or the AA has no surface water outlet (not even seasonally).</v>
      </c>
      <c r="D90" s="33">
        <f>F!D242</f>
        <v>0</v>
      </c>
      <c r="E90" s="203">
        <v>4</v>
      </c>
      <c r="F90" s="187">
        <f>D90*E90</f>
        <v>0</v>
      </c>
      <c r="G90" s="383"/>
      <c r="H90" s="1696"/>
      <c r="I90" s="1670"/>
      <c r="J90" s="57"/>
    </row>
    <row r="91" spans="1:10" s="2" customFormat="1" ht="15" customHeight="1" x14ac:dyDescent="0.2">
      <c r="A91" s="1703"/>
      <c r="B91" s="1703"/>
      <c r="C91" s="628" t="str">
        <f>F!C243</f>
        <v>2-5%.</v>
      </c>
      <c r="D91" s="33">
        <f>F!D243</f>
        <v>0</v>
      </c>
      <c r="E91" s="203">
        <v>2</v>
      </c>
      <c r="F91" s="187">
        <f>D91*E91</f>
        <v>0</v>
      </c>
      <c r="G91" s="384"/>
      <c r="H91" s="1696"/>
      <c r="I91" s="1670"/>
      <c r="J91" s="57"/>
    </row>
    <row r="92" spans="1:10" s="2" customFormat="1" ht="15" customHeight="1" x14ac:dyDescent="0.2">
      <c r="A92" s="1703"/>
      <c r="B92" s="1703"/>
      <c r="C92" s="628" t="str">
        <f>F!C244</f>
        <v>6-10%.</v>
      </c>
      <c r="D92" s="33">
        <f>F!D244</f>
        <v>0</v>
      </c>
      <c r="E92" s="203">
        <v>1</v>
      </c>
      <c r="F92" s="187">
        <f>D92*E92</f>
        <v>0</v>
      </c>
      <c r="G92" s="384"/>
      <c r="H92" s="1696"/>
      <c r="I92" s="1670"/>
      <c r="J92" s="57"/>
    </row>
    <row r="93" spans="1:10" s="2" customFormat="1" ht="15" customHeight="1" thickBot="1" x14ac:dyDescent="0.25">
      <c r="A93" s="1722"/>
      <c r="B93" s="1722"/>
      <c r="C93" s="677" t="str">
        <f>F!C245</f>
        <v>&gt;10%.</v>
      </c>
      <c r="D93" s="84">
        <f>F!D245</f>
        <v>0</v>
      </c>
      <c r="E93" s="204">
        <v>0</v>
      </c>
      <c r="F93" s="188">
        <f>D93*E93</f>
        <v>0</v>
      </c>
      <c r="G93" s="385"/>
      <c r="H93" s="1712"/>
      <c r="I93" s="1671"/>
      <c r="J93" s="57"/>
    </row>
    <row r="94" spans="1:10" ht="54" customHeight="1" thickBot="1" x14ac:dyDescent="0.25">
      <c r="A94" s="59" t="str">
        <f>S!A69</f>
        <v>S5</v>
      </c>
      <c r="B94" s="59" t="str">
        <f>S!B69</f>
        <v>Soil or Sediment Alteration Within the Assessment Area</v>
      </c>
      <c r="C94" s="806" t="str">
        <f>S!E86</f>
        <v>Stressor subscore=</v>
      </c>
      <c r="D94" s="361">
        <f>S!F86</f>
        <v>0</v>
      </c>
      <c r="E94" s="354"/>
      <c r="F94" s="354"/>
      <c r="G94" s="262">
        <f>1-D94</f>
        <v>1</v>
      </c>
      <c r="H94" s="240" t="s">
        <v>1882</v>
      </c>
      <c r="I94" s="624" t="s">
        <v>2947</v>
      </c>
    </row>
    <row r="95" spans="1:10" s="56" customFormat="1" ht="36" customHeight="1" thickBot="1" x14ac:dyDescent="0.25">
      <c r="A95" s="871" t="s">
        <v>88</v>
      </c>
      <c r="B95" s="872" t="s">
        <v>1901</v>
      </c>
      <c r="C95" s="873" t="s">
        <v>1164</v>
      </c>
      <c r="D95" s="874" t="s">
        <v>45</v>
      </c>
      <c r="E95" s="875" t="s">
        <v>1188</v>
      </c>
      <c r="F95" s="876" t="s">
        <v>1189</v>
      </c>
      <c r="G95" s="877" t="s">
        <v>2558</v>
      </c>
      <c r="H95" s="872" t="s">
        <v>1117</v>
      </c>
      <c r="I95" s="872" t="s">
        <v>2427</v>
      </c>
    </row>
    <row r="96" spans="1:10" ht="45" customHeight="1" thickBot="1" x14ac:dyDescent="0.25">
      <c r="A96" s="1816" t="str">
        <f>OF!A99</f>
        <v>OF20</v>
      </c>
      <c r="B96" s="1816" t="str">
        <f>OF!B99</f>
        <v xml:space="preserve">Degraded Water Upstream </v>
      </c>
      <c r="C96" s="229" t="str">
        <f>OF!C99</f>
        <v xml:space="preserve">Sampling indicates a problem with concentrations of metals, hydrocarbons, nutrients, or other substances (excluding bacteria, acidic water, high temperatures) being present at levels harmful to aquatic life or humans, and:  </v>
      </c>
      <c r="D96" s="348"/>
      <c r="E96" s="351"/>
      <c r="F96" s="350"/>
      <c r="G96" s="347">
        <f>IF((D100=1),"", IF((D99=1),0, IF((D98=1),0.5, 1)))</f>
        <v>1</v>
      </c>
      <c r="H96" s="1669" t="s">
        <v>1541</v>
      </c>
      <c r="I96" s="1669" t="s">
        <v>1111</v>
      </c>
    </row>
    <row r="97" spans="1:9" ht="15" customHeight="1" x14ac:dyDescent="0.2">
      <c r="A97" s="1790"/>
      <c r="B97" s="1790"/>
      <c r="C97" s="1329" t="str">
        <f>OF!C100</f>
        <v>The condition is present within the AA.</v>
      </c>
      <c r="D97" s="134">
        <f>OF!D100</f>
        <v>0</v>
      </c>
      <c r="E97" s="196"/>
      <c r="F97" s="358"/>
      <c r="G97" s="271"/>
      <c r="H97" s="1670"/>
      <c r="I97" s="1670"/>
    </row>
    <row r="98" spans="1:9" ht="27" customHeight="1" x14ac:dyDescent="0.2">
      <c r="A98" s="1790"/>
      <c r="B98" s="1790"/>
      <c r="C98" s="1330" t="str">
        <f>OF!C101</f>
        <v>The condition is present in waters within 1 km that flow into the AA, but has not been documented in the AA itself.</v>
      </c>
      <c r="D98" s="122">
        <f>OF!D101</f>
        <v>0</v>
      </c>
      <c r="E98" s="196"/>
      <c r="F98" s="358"/>
      <c r="G98" s="271"/>
      <c r="H98" s="1670"/>
      <c r="I98" s="1670"/>
    </row>
    <row r="99" spans="1:9" ht="27" customHeight="1" x14ac:dyDescent="0.2">
      <c r="A99" s="1790"/>
      <c r="B99" s="1790"/>
      <c r="C99" s="1330" t="str">
        <f>OF!C102</f>
        <v>Sampling during both low water periods and times with high runoff (storms, snowmelt) indicates no problems in either the AA or inflowing waters.</v>
      </c>
      <c r="D99" s="122">
        <f>OF!D102</f>
        <v>0</v>
      </c>
      <c r="E99" s="196"/>
      <c r="F99" s="358"/>
      <c r="G99" s="271"/>
      <c r="H99" s="1670"/>
      <c r="I99" s="1670"/>
    </row>
    <row r="100" spans="1:9" ht="27" customHeight="1" thickBot="1" x14ac:dyDescent="0.25">
      <c r="A100" s="1791"/>
      <c r="B100" s="1791"/>
      <c r="C100" s="1333" t="str">
        <f>OF!C103</f>
        <v>Data are insufficient (no or inadequate sampling within 1 km, or condition exists only at &gt;1 km upstream). This is the situation for nearly all wetlands in this region.</v>
      </c>
      <c r="D100" s="123">
        <f>OF!D103</f>
        <v>0</v>
      </c>
      <c r="E100" s="349"/>
      <c r="F100" s="359"/>
      <c r="G100" s="261"/>
      <c r="H100" s="1671"/>
      <c r="I100" s="1671"/>
    </row>
    <row r="101" spans="1:9" ht="19.5" customHeight="1" thickBot="1" x14ac:dyDescent="0.25">
      <c r="A101" s="1817" t="str">
        <f>OF!A104</f>
        <v>OF21</v>
      </c>
      <c r="B101" s="1790" t="str">
        <f>OF!B104</f>
        <v xml:space="preserve">Degraded Water Downstream </v>
      </c>
      <c r="C101" s="339" t="str">
        <f>OF!C104</f>
        <v>The problem described above is downslope from the AA, and:</v>
      </c>
      <c r="D101" s="348"/>
      <c r="E101" s="352"/>
      <c r="F101" s="194"/>
      <c r="G101" s="357">
        <f>IF((D105=1),"", IF((D104=1),0, IF((D103=1),0.5, 1)))</f>
        <v>1</v>
      </c>
      <c r="H101" s="1670" t="s">
        <v>87</v>
      </c>
      <c r="I101" s="1669" t="s">
        <v>411</v>
      </c>
    </row>
    <row r="102" spans="1:9" ht="15" customHeight="1" x14ac:dyDescent="0.2">
      <c r="A102" s="1817"/>
      <c r="B102" s="1790"/>
      <c r="C102" s="1329" t="str">
        <f>OF!C105</f>
        <v>The condition is present within 1 km downslope and connected to the AA by a channel.</v>
      </c>
      <c r="D102" s="134">
        <f>OF!D105</f>
        <v>0</v>
      </c>
      <c r="E102" s="196"/>
      <c r="F102" s="196"/>
      <c r="G102" s="274"/>
      <c r="H102" s="1670"/>
      <c r="I102" s="1670"/>
    </row>
    <row r="103" spans="1:9" ht="27" customHeight="1" x14ac:dyDescent="0.2">
      <c r="A103" s="1817"/>
      <c r="B103" s="1790"/>
      <c r="C103" s="1329" t="str">
        <f>OF!C106</f>
        <v>The condition is present within 5 km downslope and connected to the AA by a channel, or within 1 km but not connected to the AA by a channel.</v>
      </c>
      <c r="D103" s="134">
        <f>OF!D106</f>
        <v>0</v>
      </c>
      <c r="E103" s="196"/>
      <c r="F103" s="196"/>
      <c r="G103" s="271"/>
      <c r="H103" s="1670"/>
      <c r="I103" s="1670"/>
    </row>
    <row r="104" spans="1:9" ht="27" customHeight="1" x14ac:dyDescent="0.2">
      <c r="A104" s="1817"/>
      <c r="B104" s="1790"/>
      <c r="C104" s="1329" t="str">
        <f>OF!C107</f>
        <v>Sampling during both low water periods and times with high runoff (storms, snowmelt) indicates no problems in either the AA or inflowing waters.</v>
      </c>
      <c r="D104" s="134">
        <f>OF!D107</f>
        <v>0</v>
      </c>
      <c r="E104" s="196"/>
      <c r="F104" s="196"/>
      <c r="G104" s="271"/>
      <c r="H104" s="1670"/>
      <c r="I104" s="1670"/>
    </row>
    <row r="105" spans="1:9" ht="27" customHeight="1" thickBot="1" x14ac:dyDescent="0.25">
      <c r="A105" s="1817"/>
      <c r="B105" s="1790"/>
      <c r="C105" s="1335" t="str">
        <f>OF!C108</f>
        <v>Data are insufficient (no or inadequate sampling within 1 km, or condition exists only at &gt;1 km upstream). This is the situation for nearly all wetlands in this region.</v>
      </c>
      <c r="D105" s="135">
        <f>OF!D108</f>
        <v>0</v>
      </c>
      <c r="E105" s="198"/>
      <c r="F105" s="198"/>
      <c r="G105" s="257"/>
      <c r="H105" s="1670"/>
      <c r="I105" s="1671"/>
    </row>
    <row r="106" spans="1:9" ht="92.25" customHeight="1" thickBot="1" x14ac:dyDescent="0.25">
      <c r="A106" s="1813" t="str">
        <f>OF!A109</f>
        <v>OF22</v>
      </c>
      <c r="B106" s="1885" t="str">
        <f>OF!B109</f>
        <v>Wetland as a % of Its Contributing Area (Catchment)</v>
      </c>
      <c r="C106" s="226" t="str">
        <f>OF!C109</f>
        <v>From a topographic map and field observations, estimate the approximate boundaries of the catchment (CA) of the entire wetland of which the AA may be only a part. Then adjust those boundaries if necessary based on your field observations of the surrounding terrain, and/or by using procedures described in the Manual.  Divide the area of the wetland (not just the AA) by the approximate area of its catchment excluding the area of the wetland itself.  When doing the calculation, if ponded water is adjacent to the wetland, include that in the wetland's area.  The result is:</v>
      </c>
      <c r="D106" s="348"/>
      <c r="E106" s="351"/>
      <c r="F106" s="350"/>
      <c r="G106" s="347">
        <f>MAX(F107:F110)/MAX(E107:E110)</f>
        <v>0</v>
      </c>
      <c r="H106" s="1693" t="s">
        <v>1538</v>
      </c>
      <c r="I106" s="1669" t="s">
        <v>356</v>
      </c>
    </row>
    <row r="107" spans="1:9" ht="15" customHeight="1" x14ac:dyDescent="0.2">
      <c r="A107" s="1814"/>
      <c r="B107" s="1886"/>
      <c r="C107" s="1329" t="str">
        <f>OF!C110</f>
        <v>&lt;0.01, or catchment size unknown due to stormwater pipes that collect water from an indeterminate area.</v>
      </c>
      <c r="D107" s="134">
        <f>OF!D110</f>
        <v>0</v>
      </c>
      <c r="E107" s="196">
        <v>3</v>
      </c>
      <c r="F107" s="196">
        <f>D107*E107</f>
        <v>0</v>
      </c>
      <c r="G107" s="274"/>
      <c r="H107" s="1696"/>
      <c r="I107" s="1670"/>
    </row>
    <row r="108" spans="1:9" ht="15" customHeight="1" x14ac:dyDescent="0.2">
      <c r="A108" s="1814"/>
      <c r="B108" s="1886"/>
      <c r="C108" s="1330" t="str">
        <f>OF!C111</f>
        <v>0.01 to 0.1.</v>
      </c>
      <c r="D108" s="122">
        <f>OF!D111</f>
        <v>0</v>
      </c>
      <c r="E108" s="196">
        <v>2</v>
      </c>
      <c r="F108" s="196">
        <f>D108*E108</f>
        <v>0</v>
      </c>
      <c r="G108" s="271"/>
      <c r="H108" s="1696"/>
      <c r="I108" s="1670"/>
    </row>
    <row r="109" spans="1:9" ht="15" customHeight="1" x14ac:dyDescent="0.2">
      <c r="A109" s="1814"/>
      <c r="B109" s="1886"/>
      <c r="C109" s="1330" t="str">
        <f>OF!C112</f>
        <v>0.1 to 1.</v>
      </c>
      <c r="D109" s="122">
        <f>OF!D112</f>
        <v>0</v>
      </c>
      <c r="E109" s="196">
        <v>1</v>
      </c>
      <c r="F109" s="196">
        <f>D109*E109</f>
        <v>0</v>
      </c>
      <c r="G109" s="271"/>
      <c r="H109" s="1696"/>
      <c r="I109" s="1670"/>
    </row>
    <row r="110" spans="1:9" ht="27" customHeight="1" thickBot="1" x14ac:dyDescent="0.25">
      <c r="A110" s="1815"/>
      <c r="B110" s="1887"/>
      <c r="C110" s="1333" t="str">
        <f>OF!C113</f>
        <v xml:space="preserve">&gt;1 (wetland is larger than its catchment (e.g., wetland with flat surrounding terrain and no inlet, or is entirely isolated by dikes, or is a raised bog). </v>
      </c>
      <c r="D110" s="123">
        <f>OF!D113</f>
        <v>0</v>
      </c>
      <c r="E110" s="349">
        <v>0</v>
      </c>
      <c r="F110" s="349">
        <f>D110*E110</f>
        <v>0</v>
      </c>
      <c r="G110" s="261"/>
      <c r="H110" s="1712"/>
      <c r="I110" s="1671"/>
    </row>
    <row r="111" spans="1:9" ht="45" customHeight="1" thickBot="1" x14ac:dyDescent="0.25">
      <c r="A111" s="1813" t="str">
        <f>OF!A114</f>
        <v>OF23</v>
      </c>
      <c r="B111" s="1885" t="str">
        <f>OF!B114</f>
        <v>Unvegetated Surface in the Contributing Area</v>
      </c>
      <c r="C111" s="226" t="str">
        <f>OF!C114</f>
        <v>The proportion of the AA's contributing area (measured to no more than 1000 m upslope) that is comprised of buildings, roads, parking lots, other pavement, exposed bedrock, landslides, and other mostly-bare surface is about :</v>
      </c>
      <c r="D111" s="348"/>
      <c r="E111" s="351"/>
      <c r="F111" s="350"/>
      <c r="G111" s="347">
        <f>IF((NoCA=1),"", MAX(F112:F114)/MAX(E112:E114))</f>
        <v>0</v>
      </c>
      <c r="H111" s="1693" t="s">
        <v>1888</v>
      </c>
      <c r="I111" s="1669" t="s">
        <v>357</v>
      </c>
    </row>
    <row r="112" spans="1:9" ht="15" customHeight="1" x14ac:dyDescent="0.2">
      <c r="A112" s="1814"/>
      <c r="B112" s="1886"/>
      <c r="C112" s="1329" t="str">
        <f>OF!C115</f>
        <v>&lt;10%.</v>
      </c>
      <c r="D112" s="134">
        <f>OF!D115</f>
        <v>0</v>
      </c>
      <c r="E112" s="196">
        <v>0</v>
      </c>
      <c r="F112" s="196">
        <f>D112*E112</f>
        <v>0</v>
      </c>
      <c r="G112" s="274"/>
      <c r="H112" s="1696"/>
      <c r="I112" s="1670"/>
    </row>
    <row r="113" spans="1:9" ht="15" customHeight="1" x14ac:dyDescent="0.2">
      <c r="A113" s="1814"/>
      <c r="B113" s="1886"/>
      <c r="C113" s="1330" t="str">
        <f>OF!C116</f>
        <v>10 to 25%.</v>
      </c>
      <c r="D113" s="122">
        <f>OF!D116</f>
        <v>0</v>
      </c>
      <c r="E113" s="196">
        <v>1</v>
      </c>
      <c r="F113" s="196">
        <f>D113*E113</f>
        <v>0</v>
      </c>
      <c r="G113" s="271"/>
      <c r="H113" s="1696"/>
      <c r="I113" s="1670"/>
    </row>
    <row r="114" spans="1:9" ht="15" customHeight="1" thickBot="1" x14ac:dyDescent="0.25">
      <c r="A114" s="1815"/>
      <c r="B114" s="1887"/>
      <c r="C114" s="1333" t="str">
        <f>OF!C117</f>
        <v>&gt;25%.</v>
      </c>
      <c r="D114" s="123">
        <f>OF!D117</f>
        <v>0</v>
      </c>
      <c r="E114" s="349">
        <v>2</v>
      </c>
      <c r="F114" s="349">
        <f>D114*E114</f>
        <v>0</v>
      </c>
      <c r="G114" s="261"/>
      <c r="H114" s="1712"/>
      <c r="I114" s="1671"/>
    </row>
    <row r="115" spans="1:9" ht="126" customHeight="1" thickBot="1" x14ac:dyDescent="0.25">
      <c r="A115" s="1817" t="str">
        <f>OF!A118</f>
        <v>OF24</v>
      </c>
      <c r="B115" s="1886" t="str">
        <f>OF!B118</f>
        <v>Transport From Upslope</v>
      </c>
      <c r="C115" s="339" t="str">
        <f>OF!C118</f>
        <v>A relatively large proportion of the precipitation that falls farther upslope in the CA reaches this wetland quickly as runoff (surface water), as indicated by the following: 
(a) input channel is present,
(b) input channels have been straightened,
(c) upslope wetlands have been ditched extensively,
(d) land cover is mostly non-forest,
(e) CA slopes are steep, and/or
(f) most CA soils are shallow (bedrock near surface) and/or have high runoff coefficients. 
This statement is:</v>
      </c>
      <c r="D115" s="348"/>
      <c r="E115" s="352"/>
      <c r="F115" s="194"/>
      <c r="G115" s="357">
        <f>IF((NoCA=1),"", MAX(F116:F118)/MAX(E116:E118))</f>
        <v>0</v>
      </c>
      <c r="H115" s="1696" t="s">
        <v>1813</v>
      </c>
      <c r="I115" s="1669" t="s">
        <v>358</v>
      </c>
    </row>
    <row r="116" spans="1:9" ht="18" customHeight="1" x14ac:dyDescent="0.2">
      <c r="A116" s="1817"/>
      <c r="B116" s="1886"/>
      <c r="C116" s="1329" t="str">
        <f>OF!C119</f>
        <v>Mostly true.</v>
      </c>
      <c r="D116" s="134">
        <f>OF!D119</f>
        <v>0</v>
      </c>
      <c r="E116" s="196">
        <v>2</v>
      </c>
      <c r="F116" s="196">
        <f>D116*E116</f>
        <v>0</v>
      </c>
      <c r="G116" s="274"/>
      <c r="H116" s="1696"/>
      <c r="I116" s="1670"/>
    </row>
    <row r="117" spans="1:9" ht="18" customHeight="1" x14ac:dyDescent="0.2">
      <c r="A117" s="1817"/>
      <c r="B117" s="1886"/>
      <c r="C117" s="1330" t="str">
        <f>OF!C120</f>
        <v>Somewhat true.</v>
      </c>
      <c r="D117" s="122">
        <f>OF!D120</f>
        <v>0</v>
      </c>
      <c r="E117" s="196">
        <v>1</v>
      </c>
      <c r="F117" s="196">
        <f>D117*E117</f>
        <v>0</v>
      </c>
      <c r="G117" s="271"/>
      <c r="H117" s="1696"/>
      <c r="I117" s="1670"/>
    </row>
    <row r="118" spans="1:9" ht="18" customHeight="1" thickBot="1" x14ac:dyDescent="0.25">
      <c r="A118" s="1817"/>
      <c r="B118" s="1886"/>
      <c r="C118" s="1331" t="str">
        <f>OF!C121</f>
        <v>Mostly untrue.</v>
      </c>
      <c r="D118" s="136">
        <f>OF!D121</f>
        <v>0</v>
      </c>
      <c r="E118" s="198">
        <v>0</v>
      </c>
      <c r="F118" s="198">
        <f>D118*E118</f>
        <v>0</v>
      </c>
      <c r="G118" s="257"/>
      <c r="H118" s="1696"/>
      <c r="I118" s="1671"/>
    </row>
    <row r="119" spans="1:9" ht="30" customHeight="1" thickBot="1" x14ac:dyDescent="0.25">
      <c r="A119" s="1813" t="str">
        <f>F!A121</f>
        <v>F24</v>
      </c>
      <c r="B119" s="1816" t="str">
        <f>F!B121</f>
        <v>% of AA Without Surface Water</v>
      </c>
      <c r="C119" s="229" t="str">
        <f>F!C121</f>
        <v>The percentage of the AA that never contains surface water during an average year (that is, except perhaps for a few hours after snowmelt or rainstorms), but which is still a wetland, is:</v>
      </c>
      <c r="D119" s="348"/>
      <c r="E119" s="351"/>
      <c r="F119" s="351"/>
      <c r="G119" s="347">
        <f>MAX(F120:F125)/MAX(E120:E125)</f>
        <v>0</v>
      </c>
      <c r="H119" s="1669" t="s">
        <v>973</v>
      </c>
      <c r="I119" s="1669" t="s">
        <v>974</v>
      </c>
    </row>
    <row r="120" spans="1:9" ht="15" customHeight="1" x14ac:dyDescent="0.2">
      <c r="A120" s="1814"/>
      <c r="B120" s="1790"/>
      <c r="C120" s="230" t="str">
        <f>F!C122</f>
        <v xml:space="preserve">&lt;1% . In other words, all or nearly all of the AA is covered by water permanently or at least seasonally.  </v>
      </c>
      <c r="D120" s="134">
        <f>F!D122</f>
        <v>0</v>
      </c>
      <c r="E120" s="196">
        <v>6</v>
      </c>
      <c r="F120" s="196">
        <f t="shared" ref="F120:F125" si="4">D120*E120</f>
        <v>0</v>
      </c>
      <c r="G120" s="271"/>
      <c r="H120" s="1670"/>
      <c r="I120" s="1670"/>
    </row>
    <row r="121" spans="1:9" ht="15" customHeight="1" x14ac:dyDescent="0.2">
      <c r="A121" s="1814"/>
      <c r="B121" s="1790"/>
      <c r="C121" s="230" t="str">
        <f>F!C123</f>
        <v>1-25% of the AA,  or &lt;1% but &gt;0.01 ha never contains surface water.</v>
      </c>
      <c r="D121" s="134">
        <f>F!D123</f>
        <v>0</v>
      </c>
      <c r="E121" s="196">
        <v>5</v>
      </c>
      <c r="F121" s="196">
        <f t="shared" si="4"/>
        <v>0</v>
      </c>
      <c r="G121" s="271"/>
      <c r="H121" s="1670"/>
      <c r="I121" s="1670"/>
    </row>
    <row r="122" spans="1:9" ht="15" customHeight="1" x14ac:dyDescent="0.2">
      <c r="A122" s="1814"/>
      <c r="B122" s="1790"/>
      <c r="C122" s="230" t="str">
        <f>F!C124</f>
        <v>25-50% of the AA never contains surface water.</v>
      </c>
      <c r="D122" s="134">
        <f>F!D124</f>
        <v>0</v>
      </c>
      <c r="E122" s="196">
        <v>4</v>
      </c>
      <c r="F122" s="196">
        <f t="shared" si="4"/>
        <v>0</v>
      </c>
      <c r="G122" s="271"/>
      <c r="H122" s="1670"/>
      <c r="I122" s="1670"/>
    </row>
    <row r="123" spans="1:9" ht="15" customHeight="1" x14ac:dyDescent="0.2">
      <c r="A123" s="1814"/>
      <c r="B123" s="1790"/>
      <c r="C123" s="230" t="str">
        <f>F!C125</f>
        <v>50-75% of the AA never contains surface water.</v>
      </c>
      <c r="D123" s="134">
        <f>F!D125</f>
        <v>0</v>
      </c>
      <c r="E123" s="196">
        <v>3</v>
      </c>
      <c r="F123" s="196">
        <f t="shared" si="4"/>
        <v>0</v>
      </c>
      <c r="G123" s="271"/>
      <c r="H123" s="1670"/>
      <c r="I123" s="1670"/>
    </row>
    <row r="124" spans="1:9" ht="27" customHeight="1" x14ac:dyDescent="0.2">
      <c r="A124" s="1814"/>
      <c r="B124" s="1790"/>
      <c r="C124" s="230" t="str">
        <f>F!C126</f>
        <v>75-99% of the AA never contains surface water, OR &gt;99% and there is at least one persistently ponded water body larger than 1 ha in the AA.</v>
      </c>
      <c r="D124" s="134">
        <f>F!D126</f>
        <v>0</v>
      </c>
      <c r="E124" s="198">
        <v>2</v>
      </c>
      <c r="F124" s="196">
        <f t="shared" si="4"/>
        <v>0</v>
      </c>
      <c r="G124" s="257"/>
      <c r="H124" s="1670"/>
      <c r="I124" s="1670"/>
    </row>
    <row r="125" spans="1:9" ht="27" customHeight="1" thickBot="1" x14ac:dyDescent="0.25">
      <c r="A125" s="1815"/>
      <c r="B125" s="1791"/>
      <c r="C125" s="231" t="str">
        <f>F!C127</f>
        <v>99-100%. AND there is no persistently ponded water body larger than 1 ha within the AA. Enter "1" and SKIP to F42 (Channel Connection).</v>
      </c>
      <c r="D125" s="171">
        <f>F!D127</f>
        <v>0</v>
      </c>
      <c r="E125" s="349">
        <v>1</v>
      </c>
      <c r="F125" s="196">
        <f t="shared" si="4"/>
        <v>0</v>
      </c>
      <c r="G125" s="261"/>
      <c r="H125" s="1671"/>
      <c r="I125" s="1671"/>
    </row>
    <row r="126" spans="1:9" ht="30" customHeight="1" thickBot="1" x14ac:dyDescent="0.25">
      <c r="A126" s="1817" t="str">
        <f>F!A146</f>
        <v>F28</v>
      </c>
      <c r="B126" s="1886" t="str">
        <f>F!B146</f>
        <v>Annual Water Fluctuation Range</v>
      </c>
      <c r="C126" s="339" t="str">
        <f>F!C146</f>
        <v>The annual fluctuation in surface water level within most of the parts of the AA that contain surface water at least temporarily is:</v>
      </c>
      <c r="D126" s="193"/>
      <c r="E126" s="352"/>
      <c r="F126" s="194"/>
      <c r="G126" s="357">
        <f>IF((AllSat1&gt;0),"",IF((NoSeasonal=1),"",MAX(F127:F131)/MAX(E127:E131)))</f>
        <v>0</v>
      </c>
      <c r="H126" s="1670" t="s">
        <v>275</v>
      </c>
      <c r="I126" s="1669" t="s">
        <v>353</v>
      </c>
    </row>
    <row r="127" spans="1:9" ht="15" customHeight="1" x14ac:dyDescent="0.2">
      <c r="A127" s="1817"/>
      <c r="B127" s="1886"/>
      <c r="C127" s="69" t="str">
        <f>F!C147</f>
        <v>&lt;10 cm change (stable or nearly so).</v>
      </c>
      <c r="D127" s="134">
        <f>F!D147</f>
        <v>0</v>
      </c>
      <c r="E127" s="196">
        <v>0</v>
      </c>
      <c r="F127" s="196">
        <f>D127*E127</f>
        <v>0</v>
      </c>
      <c r="G127" s="274"/>
      <c r="H127" s="1670"/>
      <c r="I127" s="1670"/>
    </row>
    <row r="128" spans="1:9" ht="15" customHeight="1" x14ac:dyDescent="0.2">
      <c r="A128" s="1817"/>
      <c r="B128" s="1886"/>
      <c r="C128" s="37" t="str">
        <f>F!C148</f>
        <v>10 cm - 50 cm change.</v>
      </c>
      <c r="D128" s="122">
        <f>F!D148</f>
        <v>0</v>
      </c>
      <c r="E128" s="196">
        <v>2</v>
      </c>
      <c r="F128" s="196">
        <f>D128*E128</f>
        <v>0</v>
      </c>
      <c r="G128" s="271"/>
      <c r="H128" s="1670"/>
      <c r="I128" s="1670"/>
    </row>
    <row r="129" spans="1:9" ht="15" customHeight="1" x14ac:dyDescent="0.2">
      <c r="A129" s="1817"/>
      <c r="B129" s="1886"/>
      <c r="C129" s="37" t="str">
        <f>F!C149</f>
        <v>0.5 - 1 m change.</v>
      </c>
      <c r="D129" s="122">
        <f>F!D149</f>
        <v>0</v>
      </c>
      <c r="E129" s="196">
        <v>3</v>
      </c>
      <c r="F129" s="196">
        <f>D129*E129</f>
        <v>0</v>
      </c>
      <c r="G129" s="271"/>
      <c r="H129" s="1670"/>
      <c r="I129" s="1670"/>
    </row>
    <row r="130" spans="1:9" ht="15" customHeight="1" x14ac:dyDescent="0.2">
      <c r="A130" s="1817"/>
      <c r="B130" s="1886"/>
      <c r="C130" s="37" t="str">
        <f>F!C150</f>
        <v>1-2 m change.</v>
      </c>
      <c r="D130" s="122">
        <f>F!D150</f>
        <v>0</v>
      </c>
      <c r="E130" s="198">
        <v>4</v>
      </c>
      <c r="F130" s="196">
        <f>D130*E130</f>
        <v>0</v>
      </c>
      <c r="G130" s="257"/>
      <c r="H130" s="1670"/>
      <c r="I130" s="1670"/>
    </row>
    <row r="131" spans="1:9" ht="15" customHeight="1" thickBot="1" x14ac:dyDescent="0.25">
      <c r="A131" s="1817"/>
      <c r="B131" s="1886"/>
      <c r="C131" s="37" t="str">
        <f>F!C151</f>
        <v>&gt;2 m change.</v>
      </c>
      <c r="D131" s="122">
        <f>F!D151</f>
        <v>0</v>
      </c>
      <c r="E131" s="198">
        <v>5</v>
      </c>
      <c r="F131" s="198">
        <f>D131*E131</f>
        <v>0</v>
      </c>
      <c r="G131" s="257"/>
      <c r="H131" s="1670"/>
      <c r="I131" s="1671"/>
    </row>
    <row r="132" spans="1:9" ht="60" customHeight="1" thickBot="1" x14ac:dyDescent="0.25">
      <c r="A132" s="337" t="str">
        <f>F!A216</f>
        <v>F44</v>
      </c>
      <c r="B132" s="61" t="str">
        <f>F!B216</f>
        <v>Tributary Channel</v>
      </c>
      <c r="C132" s="345" t="str">
        <f>F!C216</f>
        <v>At least once annually, surface water from a tributary channel that is &gt;100 m long moves into the AA.  Or, surface water from a larger permanent water body adjacent to the AA spills into the AA.  If it enters only via a pipe, that pipe must be fed by a mapped stream or lake further upslope. If no, SKIP to F47 (pH Measurement).</v>
      </c>
      <c r="D132" s="142">
        <f>F!D216</f>
        <v>0</v>
      </c>
      <c r="E132" s="354"/>
      <c r="F132" s="360"/>
      <c r="G132" s="347">
        <f>D132</f>
        <v>0</v>
      </c>
      <c r="H132" s="3" t="s">
        <v>69</v>
      </c>
      <c r="I132" s="3" t="s">
        <v>354</v>
      </c>
    </row>
    <row r="133" spans="1:9" ht="45" customHeight="1" thickBot="1" x14ac:dyDescent="0.25">
      <c r="A133" s="1885" t="str">
        <f>F!A247</f>
        <v>F52</v>
      </c>
      <c r="B133" s="1885" t="str">
        <f>F!B247</f>
        <v>Vegetated Buffer as % of Perimeter</v>
      </c>
      <c r="C133" s="226" t="str">
        <f>F!C247</f>
        <v>Within a zone extending 30 m laterally from the AA's edge with upland and/or other wetlands, the percentage that contains perennial vegetation cover (except lawns, row crops, heavily grazed land, conifer plantations) is:</v>
      </c>
      <c r="D133" s="378"/>
      <c r="E133" s="351"/>
      <c r="F133" s="350"/>
      <c r="G133" s="347">
        <f>IF((NoCA=1),"", MAX(F134:F138)/MAX(E134:E138))</f>
        <v>0</v>
      </c>
      <c r="H133" s="1669" t="s">
        <v>1298</v>
      </c>
      <c r="I133" s="1669" t="s">
        <v>355</v>
      </c>
    </row>
    <row r="134" spans="1:9" ht="15" customHeight="1" x14ac:dyDescent="0.2">
      <c r="A134" s="1886"/>
      <c r="B134" s="1886"/>
      <c r="C134" s="807" t="str">
        <f>F!C248</f>
        <v>&lt;5%.</v>
      </c>
      <c r="D134" s="122">
        <f>F!D248</f>
        <v>0</v>
      </c>
      <c r="E134" s="355">
        <v>4</v>
      </c>
      <c r="F134" s="196">
        <f>D134*E134</f>
        <v>0</v>
      </c>
      <c r="G134" s="274"/>
      <c r="H134" s="1670"/>
      <c r="I134" s="1670"/>
    </row>
    <row r="135" spans="1:9" ht="15" customHeight="1" x14ac:dyDescent="0.2">
      <c r="A135" s="1886"/>
      <c r="B135" s="1886"/>
      <c r="C135" s="880" t="str">
        <f>F!C249</f>
        <v>5 to 30%.</v>
      </c>
      <c r="D135" s="122">
        <f>F!D249</f>
        <v>0</v>
      </c>
      <c r="E135" s="355">
        <v>3</v>
      </c>
      <c r="F135" s="196">
        <f>D135*E135</f>
        <v>0</v>
      </c>
      <c r="G135" s="271"/>
      <c r="H135" s="1670"/>
      <c r="I135" s="1670"/>
    </row>
    <row r="136" spans="1:9" ht="15" customHeight="1" x14ac:dyDescent="0.2">
      <c r="A136" s="1886"/>
      <c r="B136" s="1886"/>
      <c r="C136" s="881" t="str">
        <f>F!C250</f>
        <v>30 to 60%.</v>
      </c>
      <c r="D136" s="122">
        <f>F!D250</f>
        <v>0</v>
      </c>
      <c r="E136" s="355">
        <v>2</v>
      </c>
      <c r="F136" s="196">
        <f>D136*E136</f>
        <v>0</v>
      </c>
      <c r="G136" s="271"/>
      <c r="H136" s="1670"/>
      <c r="I136" s="1670"/>
    </row>
    <row r="137" spans="1:9" ht="15" customHeight="1" x14ac:dyDescent="0.2">
      <c r="A137" s="1886"/>
      <c r="B137" s="1886"/>
      <c r="C137" s="881" t="str">
        <f>F!C251</f>
        <v>60 to 90%.</v>
      </c>
      <c r="D137" s="135">
        <f>F!D251</f>
        <v>0</v>
      </c>
      <c r="E137" s="355">
        <v>1</v>
      </c>
      <c r="F137" s="196">
        <f>D137*E137</f>
        <v>0</v>
      </c>
      <c r="G137" s="271"/>
      <c r="H137" s="1670"/>
      <c r="I137" s="1670"/>
    </row>
    <row r="138" spans="1:9" ht="15" customHeight="1" thickBot="1" x14ac:dyDescent="0.25">
      <c r="A138" s="1887"/>
      <c r="B138" s="1887"/>
      <c r="C138" s="808" t="str">
        <f>F!C252</f>
        <v>&gt;90%, or all the area within 30 m of the AA edge is other wetlands. SKIP to F55.</v>
      </c>
      <c r="D138" s="141">
        <f>F!D252</f>
        <v>0</v>
      </c>
      <c r="E138" s="349">
        <v>0</v>
      </c>
      <c r="F138" s="349">
        <f>D138*E138</f>
        <v>0</v>
      </c>
      <c r="G138" s="261"/>
      <c r="H138" s="1671"/>
      <c r="I138" s="1671"/>
    </row>
    <row r="139" spans="1:9" ht="30" customHeight="1" thickBot="1" x14ac:dyDescent="0.25">
      <c r="A139" s="1790" t="str">
        <f>F!A256</f>
        <v>F54</v>
      </c>
      <c r="B139" s="1790" t="str">
        <f>F!B256</f>
        <v xml:space="preserve">Buffer Slope </v>
      </c>
      <c r="C139" s="226" t="str">
        <f>F!C256</f>
        <v>The steepest and/or most disturbed part of the upland area that is within 30 m of the wetland and occupies &gt;10% of that upland area has a percent slope of:</v>
      </c>
      <c r="D139" s="884"/>
      <c r="E139" s="352"/>
      <c r="F139" s="194"/>
      <c r="G139" s="357">
        <f>IF((NoCA=1),"", IF((BuffAllNat=1),"",MAX(F140:F143)/MAX(E140:E143)))</f>
        <v>0</v>
      </c>
      <c r="H139" s="1670" t="s">
        <v>1892</v>
      </c>
      <c r="I139" s="1669" t="s">
        <v>160</v>
      </c>
    </row>
    <row r="140" spans="1:9" ht="21" customHeight="1" x14ac:dyDescent="0.2">
      <c r="A140" s="1790"/>
      <c r="B140" s="1790"/>
      <c r="C140" s="807" t="str">
        <f>F!C257</f>
        <v>&lt;1% (flat -- almost no noticeable slope) or all the area within 30 m of the AA edge is other wetlands.</v>
      </c>
      <c r="D140" s="887">
        <f>F!D257</f>
        <v>0</v>
      </c>
      <c r="E140" s="196">
        <v>0</v>
      </c>
      <c r="F140" s="196">
        <f>D140*E140</f>
        <v>0</v>
      </c>
      <c r="G140" s="274"/>
      <c r="H140" s="1670"/>
      <c r="I140" s="1670"/>
    </row>
    <row r="141" spans="1:9" ht="21" customHeight="1" x14ac:dyDescent="0.2">
      <c r="A141" s="1790"/>
      <c r="B141" s="1790"/>
      <c r="C141" s="29" t="str">
        <f>F!C258</f>
        <v>2-5%.</v>
      </c>
      <c r="D141" s="886">
        <f>F!D258</f>
        <v>0</v>
      </c>
      <c r="E141" s="196">
        <v>1</v>
      </c>
      <c r="F141" s="196">
        <f>D141*E141</f>
        <v>0</v>
      </c>
      <c r="G141" s="271"/>
      <c r="H141" s="1670"/>
      <c r="I141" s="1670"/>
    </row>
    <row r="142" spans="1:9" ht="21" customHeight="1" x14ac:dyDescent="0.2">
      <c r="A142" s="1790"/>
      <c r="B142" s="1790"/>
      <c r="C142" s="883" t="str">
        <f>F!C259</f>
        <v>5-30%.</v>
      </c>
      <c r="D142" s="885">
        <f>F!D259</f>
        <v>0</v>
      </c>
      <c r="E142" s="196">
        <v>4</v>
      </c>
      <c r="F142" s="196">
        <f>D142*E142</f>
        <v>0</v>
      </c>
      <c r="G142" s="271"/>
      <c r="H142" s="1670"/>
      <c r="I142" s="1670"/>
    </row>
    <row r="143" spans="1:9" ht="21" customHeight="1" thickBot="1" x14ac:dyDescent="0.25">
      <c r="A143" s="1790"/>
      <c r="B143" s="1790"/>
      <c r="C143" s="882" t="str">
        <f>F!C260</f>
        <v>&gt;30%.</v>
      </c>
      <c r="D143" s="141">
        <f>F!D260</f>
        <v>0</v>
      </c>
      <c r="E143" s="349">
        <v>6</v>
      </c>
      <c r="F143" s="198">
        <f>D143*E143</f>
        <v>0</v>
      </c>
      <c r="G143" s="257"/>
      <c r="H143" s="1670"/>
      <c r="I143" s="1671"/>
    </row>
    <row r="144" spans="1:9" ht="45" customHeight="1" thickBot="1" x14ac:dyDescent="0.25">
      <c r="A144" s="338" t="str">
        <f>S!A51</f>
        <v>S4</v>
      </c>
      <c r="B144" s="59" t="str">
        <f>S!B51</f>
        <v>Excessive Sediment Loading from Contributing Area</v>
      </c>
      <c r="C144" s="234" t="str">
        <f>S!E68</f>
        <v>Stressor subscore=</v>
      </c>
      <c r="D144" s="361">
        <f>S!F68</f>
        <v>0</v>
      </c>
      <c r="E144" s="354"/>
      <c r="F144" s="360"/>
      <c r="G144" s="347">
        <f>IF((NoCA=1),"", D144)</f>
        <v>0</v>
      </c>
      <c r="H144" s="36" t="s">
        <v>1390</v>
      </c>
      <c r="I144" s="3" t="s">
        <v>359</v>
      </c>
    </row>
    <row r="145" spans="1:9" ht="21" customHeight="1" thickBot="1" x14ac:dyDescent="0.25">
      <c r="A145" s="1888"/>
      <c r="B145" s="1888"/>
      <c r="C145" s="1888"/>
      <c r="D145" s="1888"/>
      <c r="E145" s="1888"/>
      <c r="F145" s="1888"/>
      <c r="G145" s="1888"/>
      <c r="H145" s="1888"/>
      <c r="I145" s="703"/>
    </row>
    <row r="146" spans="1:9" ht="21" customHeight="1" x14ac:dyDescent="0.2">
      <c r="A146" s="1842"/>
      <c r="B146" s="1842"/>
      <c r="C146" s="1842"/>
      <c r="D146" s="1889" t="s">
        <v>1119</v>
      </c>
      <c r="E146" s="1890"/>
      <c r="F146" s="1890"/>
      <c r="G146" s="1037">
        <f>IFERROR(IF((AllSat1 + AllSat1&gt;0),"", AVERAGE(Fluc2,SeasPct2)),"")</f>
        <v>0</v>
      </c>
      <c r="H146" s="1029" t="s">
        <v>2088</v>
      </c>
      <c r="I146" s="1030" t="s">
        <v>2103</v>
      </c>
    </row>
    <row r="147" spans="1:9" ht="27" customHeight="1" x14ac:dyDescent="0.2">
      <c r="A147" s="1842"/>
      <c r="B147" s="1842"/>
      <c r="C147" s="1842"/>
      <c r="D147" s="1881" t="s">
        <v>322</v>
      </c>
      <c r="E147" s="1882"/>
      <c r="F147" s="1882"/>
      <c r="G147" s="1036">
        <f>IF((AllSat1=1),"",AVERAGE(OutDur2,FlowDist2,DepthC2,Ponding2,Constric2,WatEdgeSlope2))</f>
        <v>0</v>
      </c>
      <c r="H147" s="1016" t="s">
        <v>2089</v>
      </c>
      <c r="I147" s="1031" t="s">
        <v>322</v>
      </c>
    </row>
    <row r="148" spans="1:9" ht="21" customHeight="1" x14ac:dyDescent="0.2">
      <c r="A148" s="1842"/>
      <c r="B148" s="1842"/>
      <c r="C148" s="1842"/>
      <c r="D148" s="1881" t="s">
        <v>1123</v>
      </c>
      <c r="E148" s="1882"/>
      <c r="F148" s="1882"/>
      <c r="G148" s="1036">
        <f>AVERAGE(Gradient2,WetPctCA2,AVERAGE(Girreg2, Gcover2,SoilDisturb3))</f>
        <v>0.1111111111111111</v>
      </c>
      <c r="H148" s="1016" t="s">
        <v>2090</v>
      </c>
      <c r="I148" s="1031" t="s">
        <v>2104</v>
      </c>
    </row>
    <row r="149" spans="1:9" ht="30" customHeight="1" thickBot="1" x14ac:dyDescent="0.25">
      <c r="A149" s="1842"/>
      <c r="B149" s="1842"/>
      <c r="C149" s="1842"/>
      <c r="D149" s="1883" t="s">
        <v>1124</v>
      </c>
      <c r="E149" s="1884"/>
      <c r="F149" s="1884"/>
      <c r="G149" s="922">
        <f>IF((AllSat1=1),"", IF((NoPonded=1),"", AVERAGE(WidthAbs2,AVERAGE(_GDD2, ThruFlo2,Interspers2,AqPlantCov2))))</f>
        <v>0</v>
      </c>
      <c r="H149" s="1032" t="s">
        <v>2449</v>
      </c>
      <c r="I149" s="1033" t="s">
        <v>2105</v>
      </c>
    </row>
    <row r="150" spans="1:9" ht="21" customHeight="1" thickBot="1" x14ac:dyDescent="0.25">
      <c r="A150" s="1842"/>
      <c r="B150" s="1842"/>
      <c r="C150" s="1842"/>
      <c r="D150" s="1842"/>
      <c r="E150" s="1842"/>
      <c r="F150" s="1842"/>
      <c r="G150" s="1842"/>
      <c r="H150" s="1842"/>
    </row>
    <row r="151" spans="1:9" ht="30" customHeight="1" thickBot="1" x14ac:dyDescent="0.25">
      <c r="A151" s="1842"/>
      <c r="B151" s="1843"/>
      <c r="C151" s="1826" t="s">
        <v>80</v>
      </c>
      <c r="D151" s="1827"/>
      <c r="E151" s="1828"/>
      <c r="F151" s="859" t="s">
        <v>52</v>
      </c>
      <c r="G151" s="923">
        <f>10*(IF((AllSat1=1), DryIntercept, IF((OutNone+OutNone1&gt;0),1, (2*AVERAGE(Entrain, LiveStore2) + AVERAGE(DryIntercept, WetIntercept))/3)))</f>
        <v>0.18518518518518517</v>
      </c>
      <c r="H151" s="1807" t="s">
        <v>2091</v>
      </c>
      <c r="I151" s="1808"/>
    </row>
    <row r="152" spans="1:9" ht="30" customHeight="1" thickBot="1" x14ac:dyDescent="0.25">
      <c r="A152" s="1842"/>
      <c r="B152" s="1843"/>
      <c r="C152" s="1826" t="s">
        <v>1906</v>
      </c>
      <c r="D152" s="1827"/>
      <c r="E152" s="1828"/>
      <c r="F152" s="1046" t="s">
        <v>2223</v>
      </c>
      <c r="G152" s="924">
        <f>10*(MAX(ToxData2, ToxUp2, AVERAGE(Inflo2,SatPct2v,AVERAGE(ImpervPctSS,ErodibleSS,CAnatPct2, BuffSlope2,CApct2,TransportSS,MaxFluc2,ToxData2))))</f>
        <v>10</v>
      </c>
      <c r="H152" s="1807" t="s">
        <v>2355</v>
      </c>
      <c r="I152" s="1808"/>
    </row>
    <row r="153" spans="1:9" ht="21" customHeight="1" thickBot="1" x14ac:dyDescent="0.25">
      <c r="A153" s="29"/>
      <c r="D153" s="278"/>
      <c r="E153" s="29"/>
      <c r="F153" s="29"/>
      <c r="G153" s="29"/>
      <c r="H153" s="29"/>
    </row>
    <row r="154" spans="1:9" ht="21" customHeight="1" thickBot="1" x14ac:dyDescent="0.25">
      <c r="A154" s="29"/>
      <c r="D154" s="278"/>
      <c r="E154" s="29"/>
      <c r="F154" s="29"/>
      <c r="G154" s="29"/>
      <c r="H154" s="1879" t="s">
        <v>669</v>
      </c>
      <c r="I154" s="1880"/>
    </row>
    <row r="155" spans="1:9" ht="42" customHeight="1" x14ac:dyDescent="0.2">
      <c r="A155" s="29"/>
      <c r="D155" s="278"/>
      <c r="E155" s="29"/>
      <c r="F155" s="29"/>
      <c r="G155" s="29"/>
      <c r="H155" s="1721" t="s">
        <v>2412</v>
      </c>
      <c r="I155" s="1856"/>
    </row>
    <row r="156" spans="1:9" ht="42" customHeight="1" x14ac:dyDescent="0.2">
      <c r="A156" s="29"/>
      <c r="D156" s="278"/>
      <c r="E156" s="29"/>
      <c r="F156" s="29"/>
      <c r="G156" s="29"/>
      <c r="H156" s="1792" t="s">
        <v>688</v>
      </c>
      <c r="I156" s="1793"/>
    </row>
    <row r="157" spans="1:9" ht="41.25" customHeight="1" x14ac:dyDescent="0.2">
      <c r="A157" s="29"/>
      <c r="D157" s="278"/>
      <c r="E157" s="29"/>
      <c r="F157" s="29"/>
      <c r="G157" s="29"/>
      <c r="H157" s="1792" t="s">
        <v>689</v>
      </c>
      <c r="I157" s="1793"/>
    </row>
    <row r="158" spans="1:9" ht="27" customHeight="1" x14ac:dyDescent="0.2">
      <c r="A158" s="29"/>
      <c r="D158" s="278"/>
      <c r="E158" s="29"/>
      <c r="F158" s="29"/>
      <c r="G158" s="29"/>
      <c r="H158" s="1792" t="s">
        <v>2413</v>
      </c>
      <c r="I158" s="1793"/>
    </row>
    <row r="159" spans="1:9" ht="27" customHeight="1" x14ac:dyDescent="0.2">
      <c r="A159" s="29"/>
      <c r="D159" s="278"/>
      <c r="E159" s="29"/>
      <c r="F159" s="29"/>
      <c r="G159" s="29"/>
      <c r="H159" s="1792" t="s">
        <v>691</v>
      </c>
      <c r="I159" s="1793"/>
    </row>
    <row r="160" spans="1:9" ht="27" customHeight="1" x14ac:dyDescent="0.2">
      <c r="A160" s="29"/>
      <c r="D160" s="278"/>
      <c r="E160" s="29"/>
      <c r="F160" s="29"/>
      <c r="G160" s="29"/>
      <c r="H160" s="1792" t="s">
        <v>692</v>
      </c>
      <c r="I160" s="1793"/>
    </row>
    <row r="161" spans="1:9" ht="27" customHeight="1" x14ac:dyDescent="0.2">
      <c r="A161" s="29"/>
      <c r="D161" s="278"/>
      <c r="E161" s="29"/>
      <c r="F161" s="29"/>
      <c r="G161" s="29"/>
      <c r="H161" s="1792" t="s">
        <v>693</v>
      </c>
      <c r="I161" s="1793"/>
    </row>
    <row r="162" spans="1:9" ht="27" customHeight="1" x14ac:dyDescent="0.2">
      <c r="A162" s="29"/>
      <c r="D162" s="278"/>
      <c r="E162" s="29"/>
      <c r="F162" s="29"/>
      <c r="G162" s="29"/>
      <c r="H162" s="1792" t="s">
        <v>694</v>
      </c>
      <c r="I162" s="1793"/>
    </row>
    <row r="163" spans="1:9" ht="27" customHeight="1" x14ac:dyDescent="0.2">
      <c r="A163" s="29"/>
      <c r="D163" s="278"/>
      <c r="E163" s="29"/>
      <c r="F163" s="29"/>
      <c r="G163" s="29"/>
      <c r="H163" s="1792" t="s">
        <v>695</v>
      </c>
      <c r="I163" s="1793"/>
    </row>
    <row r="164" spans="1:9" ht="27" customHeight="1" x14ac:dyDescent="0.2">
      <c r="A164" s="29"/>
      <c r="D164" s="278"/>
      <c r="E164" s="29"/>
      <c r="F164" s="29"/>
      <c r="G164" s="29"/>
      <c r="H164" s="1792" t="s">
        <v>696</v>
      </c>
      <c r="I164" s="1793"/>
    </row>
    <row r="165" spans="1:9" ht="39.75" customHeight="1" x14ac:dyDescent="0.2">
      <c r="A165" s="29"/>
      <c r="D165" s="278"/>
      <c r="E165" s="29"/>
      <c r="F165" s="29"/>
      <c r="G165" s="29"/>
      <c r="H165" s="1792" t="s">
        <v>697</v>
      </c>
      <c r="I165" s="1793"/>
    </row>
    <row r="166" spans="1:9" ht="27" customHeight="1" x14ac:dyDescent="0.2">
      <c r="A166" s="29"/>
      <c r="D166" s="278"/>
      <c r="E166" s="29"/>
      <c r="F166" s="29"/>
      <c r="G166" s="29"/>
      <c r="H166" s="1792" t="s">
        <v>698</v>
      </c>
      <c r="I166" s="1793"/>
    </row>
    <row r="167" spans="1:9" ht="27" customHeight="1" x14ac:dyDescent="0.2">
      <c r="A167" s="29"/>
      <c r="D167" s="278"/>
      <c r="E167" s="29"/>
      <c r="F167" s="29"/>
      <c r="G167" s="29"/>
      <c r="H167" s="1792" t="s">
        <v>699</v>
      </c>
      <c r="I167" s="1793"/>
    </row>
    <row r="168" spans="1:9" ht="40.5" customHeight="1" x14ac:dyDescent="0.2">
      <c r="A168" s="29"/>
      <c r="D168" s="278"/>
      <c r="E168" s="29"/>
      <c r="F168" s="29"/>
      <c r="G168" s="29"/>
      <c r="H168" s="1796" t="s">
        <v>1391</v>
      </c>
      <c r="I168" s="1797"/>
    </row>
    <row r="169" spans="1:9" ht="27" customHeight="1" x14ac:dyDescent="0.2">
      <c r="A169" s="29"/>
      <c r="D169" s="278"/>
      <c r="E169" s="29"/>
      <c r="F169" s="29"/>
      <c r="G169" s="29"/>
      <c r="H169" s="1792" t="s">
        <v>700</v>
      </c>
      <c r="I169" s="1793"/>
    </row>
    <row r="170" spans="1:9" ht="27" customHeight="1" x14ac:dyDescent="0.2">
      <c r="A170" s="29"/>
      <c r="D170" s="278"/>
      <c r="E170" s="29"/>
      <c r="F170" s="29"/>
      <c r="G170" s="29"/>
      <c r="H170" s="1792" t="s">
        <v>701</v>
      </c>
      <c r="I170" s="1793"/>
    </row>
    <row r="171" spans="1:9" ht="27" customHeight="1" x14ac:dyDescent="0.2">
      <c r="A171" s="29"/>
      <c r="D171" s="278"/>
      <c r="E171" s="29"/>
      <c r="F171" s="29"/>
      <c r="G171" s="29"/>
      <c r="H171" s="1792" t="s">
        <v>702</v>
      </c>
      <c r="I171" s="1793"/>
    </row>
    <row r="172" spans="1:9" ht="27" customHeight="1" x14ac:dyDescent="0.2">
      <c r="A172" s="29"/>
      <c r="D172" s="278"/>
      <c r="E172" s="29"/>
      <c r="F172" s="29"/>
      <c r="G172" s="29"/>
      <c r="H172" s="1792" t="s">
        <v>787</v>
      </c>
      <c r="I172" s="1793"/>
    </row>
    <row r="173" spans="1:9" ht="42" customHeight="1" x14ac:dyDescent="0.2">
      <c r="A173" s="29"/>
      <c r="D173" s="278"/>
      <c r="E173" s="29"/>
      <c r="F173" s="29"/>
      <c r="G173" s="29"/>
      <c r="H173" s="1792" t="s">
        <v>703</v>
      </c>
      <c r="I173" s="1793"/>
    </row>
    <row r="174" spans="1:9" ht="27" customHeight="1" x14ac:dyDescent="0.2">
      <c r="A174" s="29"/>
      <c r="D174" s="278"/>
      <c r="E174" s="29"/>
      <c r="F174" s="29"/>
      <c r="G174" s="29"/>
      <c r="H174" s="1792" t="s">
        <v>704</v>
      </c>
      <c r="I174" s="1793"/>
    </row>
    <row r="175" spans="1:9" ht="42" customHeight="1" thickBot="1" x14ac:dyDescent="0.25">
      <c r="A175" s="29"/>
      <c r="D175" s="278"/>
      <c r="E175" s="29"/>
      <c r="F175" s="29"/>
      <c r="G175" s="29"/>
      <c r="H175" s="1794" t="s">
        <v>705</v>
      </c>
      <c r="I175" s="1795"/>
    </row>
    <row r="176" spans="1:9" ht="27" customHeight="1" x14ac:dyDescent="0.2">
      <c r="A176" s="29"/>
      <c r="D176" s="278"/>
      <c r="E176" s="29"/>
      <c r="F176" s="29"/>
      <c r="G176" s="29"/>
    </row>
    <row r="177" spans="1:7" ht="42" customHeight="1" x14ac:dyDescent="0.2">
      <c r="A177" s="29"/>
      <c r="D177" s="278"/>
      <c r="E177" s="29"/>
      <c r="F177" s="29"/>
      <c r="G177" s="29"/>
    </row>
    <row r="178" spans="1:7" ht="27" customHeight="1" x14ac:dyDescent="0.2">
      <c r="A178" s="29"/>
      <c r="D178" s="278"/>
      <c r="E178" s="29"/>
      <c r="F178" s="29"/>
      <c r="G178" s="29"/>
    </row>
    <row r="179" spans="1:7" x14ac:dyDescent="0.2">
      <c r="A179" s="29"/>
      <c r="D179" s="278"/>
      <c r="E179" s="29"/>
      <c r="F179" s="29"/>
      <c r="G179" s="29"/>
    </row>
  </sheetData>
  <sheetProtection algorithmName="SHA-512" hashValue="a1cGquKxuXKYzRDd9GwQtdHC/w7Sc9tb3RsoHLo1Xp5Ue58W7USG8voxuSR3eNMrEFRFEH26ZoEhSm71Jsmw6A==" saltValue="Gtegx+r2tQFlLIK3l6R+jA==" spinCount="100000" sheet="1" formatCells="0" formatColumns="0" formatRows="0"/>
  <customSheetViews>
    <customSheetView guid="{B8E02330-2419-4DE6-AD01-7ACC7A5D18DD}" scale="75" topLeftCell="A171">
      <selection activeCell="A2" sqref="A2:H175"/>
      <pageMargins left="0.75" right="0.75" top="1" bottom="1" header="0.5" footer="0.5"/>
      <pageSetup orientation="portrait" r:id="rId1"/>
      <headerFooter alignWithMargins="0"/>
    </customSheetView>
  </customSheetViews>
  <mergeCells count="136">
    <mergeCell ref="B8:B14"/>
    <mergeCell ref="A1:B1"/>
    <mergeCell ref="A63:A68"/>
    <mergeCell ref="A31:A36"/>
    <mergeCell ref="H49:H55"/>
    <mergeCell ref="H37:H42"/>
    <mergeCell ref="H25:H30"/>
    <mergeCell ref="H31:H36"/>
    <mergeCell ref="H56:H62"/>
    <mergeCell ref="B31:B36"/>
    <mergeCell ref="A37:A42"/>
    <mergeCell ref="B25:B30"/>
    <mergeCell ref="B43:B48"/>
    <mergeCell ref="B56:B62"/>
    <mergeCell ref="A25:A30"/>
    <mergeCell ref="B3:B7"/>
    <mergeCell ref="B21:B24"/>
    <mergeCell ref="A21:A24"/>
    <mergeCell ref="A8:A14"/>
    <mergeCell ref="A3:A7"/>
    <mergeCell ref="B16:B20"/>
    <mergeCell ref="A16:A20"/>
    <mergeCell ref="B37:B42"/>
    <mergeCell ref="B49:B55"/>
    <mergeCell ref="A56:A62"/>
    <mergeCell ref="A43:A48"/>
    <mergeCell ref="A49:A55"/>
    <mergeCell ref="B119:B125"/>
    <mergeCell ref="H89:H93"/>
    <mergeCell ref="H73:H78"/>
    <mergeCell ref="A83:A88"/>
    <mergeCell ref="H106:H110"/>
    <mergeCell ref="H69:H72"/>
    <mergeCell ref="A69:A72"/>
    <mergeCell ref="A111:A114"/>
    <mergeCell ref="B111:B114"/>
    <mergeCell ref="B79:B82"/>
    <mergeCell ref="A89:A93"/>
    <mergeCell ref="B89:B93"/>
    <mergeCell ref="B69:B72"/>
    <mergeCell ref="B63:B68"/>
    <mergeCell ref="H63:H68"/>
    <mergeCell ref="D147:F147"/>
    <mergeCell ref="B133:B138"/>
    <mergeCell ref="H96:H100"/>
    <mergeCell ref="A73:A78"/>
    <mergeCell ref="H101:H105"/>
    <mergeCell ref="B96:B100"/>
    <mergeCell ref="A96:A100"/>
    <mergeCell ref="B101:B105"/>
    <mergeCell ref="H133:H138"/>
    <mergeCell ref="A139:A143"/>
    <mergeCell ref="H79:H82"/>
    <mergeCell ref="B73:B78"/>
    <mergeCell ref="A79:A82"/>
    <mergeCell ref="B83:B88"/>
    <mergeCell ref="H139:H143"/>
    <mergeCell ref="B115:B118"/>
    <mergeCell ref="H126:H131"/>
    <mergeCell ref="A101:A105"/>
    <mergeCell ref="A115:A118"/>
    <mergeCell ref="A126:A131"/>
    <mergeCell ref="A106:A110"/>
    <mergeCell ref="B106:B110"/>
    <mergeCell ref="A119:A125"/>
    <mergeCell ref="I16:I20"/>
    <mergeCell ref="I21:I24"/>
    <mergeCell ref="I43:I48"/>
    <mergeCell ref="I31:I36"/>
    <mergeCell ref="I25:I30"/>
    <mergeCell ref="E1:I1"/>
    <mergeCell ref="I3:I7"/>
    <mergeCell ref="I8:I14"/>
    <mergeCell ref="H8:H14"/>
    <mergeCell ref="H21:H24"/>
    <mergeCell ref="H16:H20"/>
    <mergeCell ref="H3:H7"/>
    <mergeCell ref="H43:H48"/>
    <mergeCell ref="I73:I78"/>
    <mergeCell ref="I79:I82"/>
    <mergeCell ref="I96:I100"/>
    <mergeCell ref="I101:I105"/>
    <mergeCell ref="I37:I42"/>
    <mergeCell ref="I49:I55"/>
    <mergeCell ref="I56:I62"/>
    <mergeCell ref="I63:I68"/>
    <mergeCell ref="I69:I72"/>
    <mergeCell ref="I89:I93"/>
    <mergeCell ref="H155:I155"/>
    <mergeCell ref="H156:I156"/>
    <mergeCell ref="I133:I138"/>
    <mergeCell ref="I139:I143"/>
    <mergeCell ref="I106:I110"/>
    <mergeCell ref="I111:I114"/>
    <mergeCell ref="I115:I118"/>
    <mergeCell ref="I119:I125"/>
    <mergeCell ref="I126:I131"/>
    <mergeCell ref="A150:H150"/>
    <mergeCell ref="A151:B152"/>
    <mergeCell ref="D148:F148"/>
    <mergeCell ref="D149:F149"/>
    <mergeCell ref="C152:E152"/>
    <mergeCell ref="C151:E151"/>
    <mergeCell ref="A133:A138"/>
    <mergeCell ref="B126:B131"/>
    <mergeCell ref="B139:B143"/>
    <mergeCell ref="A145:H145"/>
    <mergeCell ref="H119:H125"/>
    <mergeCell ref="H115:H118"/>
    <mergeCell ref="A146:C149"/>
    <mergeCell ref="H111:H114"/>
    <mergeCell ref="D146:F146"/>
    <mergeCell ref="H172:I172"/>
    <mergeCell ref="H173:I173"/>
    <mergeCell ref="H174:I174"/>
    <mergeCell ref="H175:I175"/>
    <mergeCell ref="H83:H88"/>
    <mergeCell ref="I83:I88"/>
    <mergeCell ref="H167:I167"/>
    <mergeCell ref="H168:I168"/>
    <mergeCell ref="H169:I169"/>
    <mergeCell ref="H170:I170"/>
    <mergeCell ref="H171:I171"/>
    <mergeCell ref="H162:I162"/>
    <mergeCell ref="H163:I163"/>
    <mergeCell ref="H164:I164"/>
    <mergeCell ref="H165:I165"/>
    <mergeCell ref="H166:I166"/>
    <mergeCell ref="H157:I157"/>
    <mergeCell ref="H158:I158"/>
    <mergeCell ref="H159:I159"/>
    <mergeCell ref="H160:I160"/>
    <mergeCell ref="H161:I161"/>
    <mergeCell ref="H151:I151"/>
    <mergeCell ref="H152:I152"/>
    <mergeCell ref="H154:I154"/>
  </mergeCells>
  <phoneticPr fontId="3" type="noConversion"/>
  <pageMargins left="0.75" right="0.75" top="1" bottom="1" header="0.5" footer="0.5"/>
  <pageSetup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818</vt:i4>
      </vt:variant>
    </vt:vector>
  </HeadingPairs>
  <TitlesOfParts>
    <vt:vector size="844" baseType="lpstr">
      <vt:lpstr>CovPg</vt:lpstr>
      <vt:lpstr>OF</vt:lpstr>
      <vt:lpstr>F</vt:lpstr>
      <vt:lpstr>S</vt:lpstr>
      <vt:lpstr>Scores</vt:lpstr>
      <vt:lpstr>WS</vt:lpstr>
      <vt:lpstr>SFS</vt:lpstr>
      <vt:lpstr>WC</vt:lpstr>
      <vt:lpstr>SR</vt:lpstr>
      <vt:lpstr>PR</vt:lpstr>
      <vt:lpstr>NR</vt:lpstr>
      <vt:lpstr>CS</vt:lpstr>
      <vt:lpstr>OE</vt:lpstr>
      <vt:lpstr>FA</vt:lpstr>
      <vt:lpstr>FR</vt:lpstr>
      <vt:lpstr>INV</vt:lpstr>
      <vt:lpstr>AM</vt:lpstr>
      <vt:lpstr>WBF</vt:lpstr>
      <vt:lpstr>WBN</vt:lpstr>
      <vt:lpstr>SBM</vt:lpstr>
      <vt:lpstr>POL</vt:lpstr>
      <vt:lpstr>PH</vt:lpstr>
      <vt:lpstr>PU</vt:lpstr>
      <vt:lpstr>EC</vt:lpstr>
      <vt:lpstr>Sen</vt:lpstr>
      <vt:lpstr>STR</vt:lpstr>
      <vt:lpstr>__IBA12</vt:lpstr>
      <vt:lpstr>_BMP11</vt:lpstr>
      <vt:lpstr>_BMP12</vt:lpstr>
      <vt:lpstr>_BMP13</vt:lpstr>
      <vt:lpstr>_Bog6</vt:lpstr>
      <vt:lpstr>_GDD1</vt:lpstr>
      <vt:lpstr>_GDD11</vt:lpstr>
      <vt:lpstr>_GDD2</vt:lpstr>
      <vt:lpstr>_GDD3</vt:lpstr>
      <vt:lpstr>_IBA13</vt:lpstr>
      <vt:lpstr>_IBA14</vt:lpstr>
      <vt:lpstr>_Iso2</vt:lpstr>
      <vt:lpstr>_Tox12</vt:lpstr>
      <vt:lpstr>_WBF10</vt:lpstr>
      <vt:lpstr>AbioSens</vt:lpstr>
      <vt:lpstr>ABpct10</vt:lpstr>
      <vt:lpstr>ABpct11</vt:lpstr>
      <vt:lpstr>ABpct12</vt:lpstr>
      <vt:lpstr>ABpct8</vt:lpstr>
      <vt:lpstr>Access10</vt:lpstr>
      <vt:lpstr>Access12</vt:lpstr>
      <vt:lpstr>Access9</vt:lpstr>
      <vt:lpstr>Acid12</vt:lpstr>
      <vt:lpstr>Acid4</vt:lpstr>
      <vt:lpstr>Acid9</vt:lpstr>
      <vt:lpstr>Acidic11</vt:lpstr>
      <vt:lpstr>Acidic13</vt:lpstr>
      <vt:lpstr>Acidic20</vt:lpstr>
      <vt:lpstr>AcidicPool10</vt:lpstr>
      <vt:lpstr>AcidicS</vt:lpstr>
      <vt:lpstr>AcidPool10</vt:lpstr>
      <vt:lpstr>Adsorb3</vt:lpstr>
      <vt:lpstr>AfishShed9</vt:lpstr>
      <vt:lpstr>Algae12</vt:lpstr>
      <vt:lpstr>Algae3</vt:lpstr>
      <vt:lpstr>AllDry11</vt:lpstr>
      <vt:lpstr>AllDry12</vt:lpstr>
      <vt:lpstr>AllDry9</vt:lpstr>
      <vt:lpstr>AllForbCov</vt:lpstr>
      <vt:lpstr>AllOpenPond</vt:lpstr>
      <vt:lpstr>AllSat1</vt:lpstr>
      <vt:lpstr>AllSat2</vt:lpstr>
      <vt:lpstr>AllWet</vt:lpstr>
      <vt:lpstr>AltTime10</vt:lpstr>
      <vt:lpstr>AltTime20</vt:lpstr>
      <vt:lpstr>AltTime8</vt:lpstr>
      <vt:lpstr>AltTime8a</vt:lpstr>
      <vt:lpstr>AltTime9</vt:lpstr>
      <vt:lpstr>AltTiming</vt:lpstr>
      <vt:lpstr>AltTimingIN</vt:lpstr>
      <vt:lpstr>Amphib</vt:lpstr>
      <vt:lpstr>AnadFish</vt:lpstr>
      <vt:lpstr>AnadFish7</vt:lpstr>
      <vt:lpstr>AnadScore2_</vt:lpstr>
      <vt:lpstr>AnoxRisk10</vt:lpstr>
      <vt:lpstr>AqCov8</vt:lpstr>
      <vt:lpstr>AqFertilPD</vt:lpstr>
      <vt:lpstr>AqPlantCov13</vt:lpstr>
      <vt:lpstr>AqPlantCov2</vt:lpstr>
      <vt:lpstr>AqPlantCov3</vt:lpstr>
      <vt:lpstr>AqPlantCov4</vt:lpstr>
      <vt:lpstr>AqPlantCov5</vt:lpstr>
      <vt:lpstr>AqPlantCov6</vt:lpstr>
      <vt:lpstr>AqPlantCov9</vt:lpstr>
      <vt:lpstr>AqStruc11</vt:lpstr>
      <vt:lpstr>Aquifer4</vt:lpstr>
      <vt:lpstr>AreaTotal12</vt:lpstr>
      <vt:lpstr>Aspect1</vt:lpstr>
      <vt:lpstr>Aspect11</vt:lpstr>
      <vt:lpstr>Aspect2_</vt:lpstr>
      <vt:lpstr>Aspect4</vt:lpstr>
      <vt:lpstr>Aspect7</vt:lpstr>
      <vt:lpstr>Aspect7v</vt:lpstr>
      <vt:lpstr>BareGpct</vt:lpstr>
      <vt:lpstr>Bduck13</vt:lpstr>
      <vt:lpstr>Beaver_S</vt:lpstr>
      <vt:lpstr>Beaver10</vt:lpstr>
      <vt:lpstr>Beaver12</vt:lpstr>
      <vt:lpstr>Beaver13</vt:lpstr>
      <vt:lpstr>Beaver14</vt:lpstr>
      <vt:lpstr>Beaver14a</vt:lpstr>
      <vt:lpstr>Beaver9</vt:lpstr>
      <vt:lpstr>BeaverPD</vt:lpstr>
      <vt:lpstr>BigPondProx12</vt:lpstr>
      <vt:lpstr>Biological</vt:lpstr>
      <vt:lpstr>BioSens</vt:lpstr>
      <vt:lpstr>BMPsoils20</vt:lpstr>
      <vt:lpstr>BMPsoilsPU</vt:lpstr>
      <vt:lpstr>BMPwildPU</vt:lpstr>
      <vt:lpstr>BuffAllNat</vt:lpstr>
      <vt:lpstr>BuffCovTyp4</vt:lpstr>
      <vt:lpstr>BuffDisturbTyp</vt:lpstr>
      <vt:lpstr>BuffLU11</vt:lpstr>
      <vt:lpstr>BuffLU9</vt:lpstr>
      <vt:lpstr>BuffLUpd</vt:lpstr>
      <vt:lpstr>BuffLUtype0</vt:lpstr>
      <vt:lpstr>BuffLUtype13</vt:lpstr>
      <vt:lpstr>BuffNatPct13</vt:lpstr>
      <vt:lpstr>BuffPctNat9</vt:lpstr>
      <vt:lpstr>BuffPerim0</vt:lpstr>
      <vt:lpstr>BuffPerim14</vt:lpstr>
      <vt:lpstr>BuffSlope_S</vt:lpstr>
      <vt:lpstr>BuffSlope2</vt:lpstr>
      <vt:lpstr>BuffSlope3</vt:lpstr>
      <vt:lpstr>BuffSlope4</vt:lpstr>
      <vt:lpstr>Burn20</vt:lpstr>
      <vt:lpstr>Burn5</vt:lpstr>
      <vt:lpstr>BurnHist</vt:lpstr>
      <vt:lpstr>CAimperv</vt:lpstr>
      <vt:lpstr>CalcFen15</vt:lpstr>
      <vt:lpstr>CalcFen3</vt:lpstr>
      <vt:lpstr>CAnatPct2</vt:lpstr>
      <vt:lpstr>CAnatPct4</vt:lpstr>
      <vt:lpstr>CApct1</vt:lpstr>
      <vt:lpstr>CApct2</vt:lpstr>
      <vt:lpstr>CApct3</vt:lpstr>
      <vt:lpstr>CApct4</vt:lpstr>
      <vt:lpstr>CApctB3</vt:lpstr>
      <vt:lpstr>CAunveg1</vt:lpstr>
      <vt:lpstr>cliff0</vt:lpstr>
      <vt:lpstr>Cliff14</vt:lpstr>
      <vt:lpstr>Cliffs14</vt:lpstr>
      <vt:lpstr>ClimateLF</vt:lpstr>
      <vt:lpstr>Colonizer</vt:lpstr>
      <vt:lpstr>CompetPD</vt:lpstr>
      <vt:lpstr>Conduc10</vt:lpstr>
      <vt:lpstr>Conduc20</vt:lpstr>
      <vt:lpstr>Conduc3</vt:lpstr>
      <vt:lpstr>Conduc4</vt:lpstr>
      <vt:lpstr>Conduc8</vt:lpstr>
      <vt:lpstr>ConductivS</vt:lpstr>
      <vt:lpstr>Connec3</vt:lpstr>
      <vt:lpstr>Connec4</vt:lpstr>
      <vt:lpstr>Connec8</vt:lpstr>
      <vt:lpstr>ConnectivLF</vt:lpstr>
      <vt:lpstr>ConsDesig</vt:lpstr>
      <vt:lpstr>ConsDesig1</vt:lpstr>
      <vt:lpstr>ConsInvest</vt:lpstr>
      <vt:lpstr>Constric_S</vt:lpstr>
      <vt:lpstr>Constric1</vt:lpstr>
      <vt:lpstr>Constric2</vt:lpstr>
      <vt:lpstr>Constric3</vt:lpstr>
      <vt:lpstr>Constric4</vt:lpstr>
      <vt:lpstr>Constric5</vt:lpstr>
      <vt:lpstr>Constric6</vt:lpstr>
      <vt:lpstr>Constricted</vt:lpstr>
      <vt:lpstr>Conven</vt:lpstr>
      <vt:lpstr>Core1</vt:lpstr>
      <vt:lpstr>Core1_11</vt:lpstr>
      <vt:lpstr>Core1_13</vt:lpstr>
      <vt:lpstr>Core10</vt:lpstr>
      <vt:lpstr>Core12a</vt:lpstr>
      <vt:lpstr>Core12b</vt:lpstr>
      <vt:lpstr>Core13a</vt:lpstr>
      <vt:lpstr>Core14a</vt:lpstr>
      <vt:lpstr>Core14b</vt:lpstr>
      <vt:lpstr>Core1pd</vt:lpstr>
      <vt:lpstr>Core1PU</vt:lpstr>
      <vt:lpstr>Core2</vt:lpstr>
      <vt:lpstr>Core2_11</vt:lpstr>
      <vt:lpstr>Core2_13</vt:lpstr>
      <vt:lpstr>Core2pd</vt:lpstr>
      <vt:lpstr>Core2PU</vt:lpstr>
      <vt:lpstr>Core9</vt:lpstr>
      <vt:lpstr>CovPctScape0</vt:lpstr>
      <vt:lpstr>CUbuffLUtype8</vt:lpstr>
      <vt:lpstr>CUbuffPctNat8</vt:lpstr>
      <vt:lpstr>CUratio_S</vt:lpstr>
      <vt:lpstr>CUratioSS</vt:lpstr>
      <vt:lpstr>CUtypeLU14</vt:lpstr>
      <vt:lpstr>DecidCov15</vt:lpstr>
      <vt:lpstr>DecidTree5</vt:lpstr>
      <vt:lpstr>DecidTree8</vt:lpstr>
      <vt:lpstr>DeepPersis</vt:lpstr>
      <vt:lpstr>DeerHab14</vt:lpstr>
      <vt:lpstr>DeerShed14</vt:lpstr>
      <vt:lpstr>Depth_S</vt:lpstr>
      <vt:lpstr>Depth10</vt:lpstr>
      <vt:lpstr>Depth12</vt:lpstr>
      <vt:lpstr>Depth13</vt:lpstr>
      <vt:lpstr>Depth15</vt:lpstr>
      <vt:lpstr>Depth2_</vt:lpstr>
      <vt:lpstr>Depth5</vt:lpstr>
      <vt:lpstr>Depth6</vt:lpstr>
      <vt:lpstr>Depth7</vt:lpstr>
      <vt:lpstr>Depth8</vt:lpstr>
      <vt:lpstr>Depth9</vt:lpstr>
      <vt:lpstr>DepthC2</vt:lpstr>
      <vt:lpstr>DepthDiv8</vt:lpstr>
      <vt:lpstr>DepthDom5</vt:lpstr>
      <vt:lpstr>DepthEven10</vt:lpstr>
      <vt:lpstr>DepthEven12</vt:lpstr>
      <vt:lpstr>DepthEven13</vt:lpstr>
      <vt:lpstr>Desorb3</vt:lpstr>
      <vt:lpstr>DisRd14</vt:lpstr>
      <vt:lpstr>DistBig15</vt:lpstr>
      <vt:lpstr>DistNat0</vt:lpstr>
      <vt:lpstr>DistPond10</vt:lpstr>
      <vt:lpstr>DistPond12</vt:lpstr>
      <vt:lpstr>DistPond13</vt:lpstr>
      <vt:lpstr>DistPond14</vt:lpstr>
      <vt:lpstr>DistRd</vt:lpstr>
      <vt:lpstr>DistRd10</vt:lpstr>
      <vt:lpstr>DistRd9</vt:lpstr>
      <vt:lpstr>DistRdPD</vt:lpstr>
      <vt:lpstr>DistRdPU</vt:lpstr>
      <vt:lpstr>DisturbStress</vt:lpstr>
      <vt:lpstr>DomDepth3</vt:lpstr>
      <vt:lpstr>downwood0</vt:lpstr>
      <vt:lpstr>DryIntercept</vt:lpstr>
      <vt:lpstr>DuckHunt</vt:lpstr>
      <vt:lpstr>Elev_S</vt:lpstr>
      <vt:lpstr>Elev4</vt:lpstr>
      <vt:lpstr>Elev9</vt:lpstr>
      <vt:lpstr>EmPct12</vt:lpstr>
      <vt:lpstr>EmPct13</vt:lpstr>
      <vt:lpstr>EmRobust13</vt:lpstr>
      <vt:lpstr>EmSens1_C</vt:lpstr>
      <vt:lpstr>EmSens1_S</vt:lpstr>
      <vt:lpstr>Enrich</vt:lpstr>
      <vt:lpstr>Entrain</vt:lpstr>
      <vt:lpstr>Erodible2</vt:lpstr>
      <vt:lpstr>ErodibleSS</vt:lpstr>
      <vt:lpstr>ExportPot6</vt:lpstr>
      <vt:lpstr>Fdamage</vt:lpstr>
      <vt:lpstr>Fen_</vt:lpstr>
      <vt:lpstr>Fen2_</vt:lpstr>
      <vt:lpstr>Fertility</vt:lpstr>
      <vt:lpstr>Fish12a</vt:lpstr>
      <vt:lpstr>fISH13A</vt:lpstr>
      <vt:lpstr>FishAcc11</vt:lpstr>
      <vt:lpstr>Fishing</vt:lpstr>
      <vt:lpstr>Fishing10</vt:lpstr>
      <vt:lpstr>Fishing9</vt:lpstr>
      <vt:lpstr>FloDist1</vt:lpstr>
      <vt:lpstr>FloDist4</vt:lpstr>
      <vt:lpstr>FloDist6</vt:lpstr>
      <vt:lpstr>FloodBdg1</vt:lpstr>
      <vt:lpstr>FlowDist2</vt:lpstr>
      <vt:lpstr>FlowDist3</vt:lpstr>
      <vt:lpstr>Fluc2</vt:lpstr>
      <vt:lpstr>FlucPD</vt:lpstr>
      <vt:lpstr>Fluctu11</vt:lpstr>
      <vt:lpstr>Fluctu13</vt:lpstr>
      <vt:lpstr>Fluctu3</vt:lpstr>
      <vt:lpstr>Fluctu4</vt:lpstr>
      <vt:lpstr>Fluctu5</vt:lpstr>
      <vt:lpstr>Fluctu6</vt:lpstr>
      <vt:lpstr>Fluctu8</vt:lpstr>
      <vt:lpstr>Fluctua1</vt:lpstr>
      <vt:lpstr>Food8</vt:lpstr>
      <vt:lpstr>Forbs0</vt:lpstr>
      <vt:lpstr>FragStress</vt:lpstr>
      <vt:lpstr>FreezeDura3</vt:lpstr>
      <vt:lpstr>Friction</vt:lpstr>
      <vt:lpstr>Fringe12</vt:lpstr>
      <vt:lpstr>Fringe12a</vt:lpstr>
      <vt:lpstr>Fringe13</vt:lpstr>
      <vt:lpstr>Fringe7a</vt:lpstr>
      <vt:lpstr>Fringe7b</vt:lpstr>
      <vt:lpstr>FrozDur4</vt:lpstr>
      <vt:lpstr>FrozDur6</vt:lpstr>
      <vt:lpstr>FscoreSRM</vt:lpstr>
      <vt:lpstr>FscoreWBF</vt:lpstr>
      <vt:lpstr>FscoreWBN</vt:lpstr>
      <vt:lpstr>Gcover_S</vt:lpstr>
      <vt:lpstr>gcover0</vt:lpstr>
      <vt:lpstr>Gcover11</vt:lpstr>
      <vt:lpstr>Gcover14</vt:lpstr>
      <vt:lpstr>Gcover2</vt:lpstr>
      <vt:lpstr>Gcover3</vt:lpstr>
      <vt:lpstr>Gcover4</vt:lpstr>
      <vt:lpstr>Gcover6</vt:lpstr>
      <vt:lpstr>Gcover8</vt:lpstr>
      <vt:lpstr>GDD_S</vt:lpstr>
      <vt:lpstr>GDDpd</vt:lpstr>
      <vt:lpstr>girreg0</vt:lpstr>
      <vt:lpstr>Girreg1</vt:lpstr>
      <vt:lpstr>Girreg11</vt:lpstr>
      <vt:lpstr>Girreg14</vt:lpstr>
      <vt:lpstr>Girreg2</vt:lpstr>
      <vt:lpstr>Girreg3</vt:lpstr>
      <vt:lpstr>Girreg4</vt:lpstr>
      <vt:lpstr>Girreg8</vt:lpstr>
      <vt:lpstr>GirregCQ</vt:lpstr>
      <vt:lpstr>GirregPD</vt:lpstr>
      <vt:lpstr>GpA_2</vt:lpstr>
      <vt:lpstr>GpB_2</vt:lpstr>
      <vt:lpstr>GpC_2</vt:lpstr>
      <vt:lpstr>Gradient1</vt:lpstr>
      <vt:lpstr>Gradient12</vt:lpstr>
      <vt:lpstr>Gradient13</vt:lpstr>
      <vt:lpstr>Gradient2</vt:lpstr>
      <vt:lpstr>Gradient3</vt:lpstr>
      <vt:lpstr>Gradient4</vt:lpstr>
      <vt:lpstr>Gradient5</vt:lpstr>
      <vt:lpstr>Gradient6</vt:lpstr>
      <vt:lpstr>gramin0</vt:lpstr>
      <vt:lpstr>Groundw1</vt:lpstr>
      <vt:lpstr>Groundw10</vt:lpstr>
      <vt:lpstr>GroundW11</vt:lpstr>
      <vt:lpstr>Groundw2_</vt:lpstr>
      <vt:lpstr>Groundw3</vt:lpstr>
      <vt:lpstr>Groundw4</vt:lpstr>
      <vt:lpstr>GroundW5</vt:lpstr>
      <vt:lpstr>Groundw6</vt:lpstr>
      <vt:lpstr>Groundw8</vt:lpstr>
      <vt:lpstr>GroundW9</vt:lpstr>
      <vt:lpstr>GroundwDisch</vt:lpstr>
      <vt:lpstr>GroundwLF</vt:lpstr>
      <vt:lpstr>GrowD</vt:lpstr>
      <vt:lpstr>GrowthRate</vt:lpstr>
      <vt:lpstr>Gwater7</vt:lpstr>
      <vt:lpstr>GWpd</vt:lpstr>
      <vt:lpstr>GWsens</vt:lpstr>
      <vt:lpstr>herbdiv0</vt:lpstr>
      <vt:lpstr>HerbDiv8</vt:lpstr>
      <vt:lpstr>HerbDom1</vt:lpstr>
      <vt:lpstr>herbdom15</vt:lpstr>
      <vt:lpstr>HerbDom2</vt:lpstr>
      <vt:lpstr>herbsens0</vt:lpstr>
      <vt:lpstr>HerbUniq</vt:lpstr>
      <vt:lpstr>HerbUniq0</vt:lpstr>
      <vt:lpstr>HerbUniq12</vt:lpstr>
      <vt:lpstr>HerbUniq13</vt:lpstr>
      <vt:lpstr>HerbUniq14</vt:lpstr>
      <vt:lpstr>HerbUniq20</vt:lpstr>
      <vt:lpstr>HistAccum5</vt:lpstr>
      <vt:lpstr>HistAccum6</vt:lpstr>
      <vt:lpstr>Hydro10</vt:lpstr>
      <vt:lpstr>Hydro11</vt:lpstr>
      <vt:lpstr>Hydro12</vt:lpstr>
      <vt:lpstr>Hydro13</vt:lpstr>
      <vt:lpstr>Hydropd8</vt:lpstr>
      <vt:lpstr>Hydropd9</vt:lpstr>
      <vt:lpstr>HydroStress</vt:lpstr>
      <vt:lpstr>IBA</vt:lpstr>
      <vt:lpstr>IBA12a</vt:lpstr>
      <vt:lpstr>IBird12v</vt:lpstr>
      <vt:lpstr>Imperv4</vt:lpstr>
      <vt:lpstr>Imperv7</vt:lpstr>
      <vt:lpstr>ImpervCA</vt:lpstr>
      <vt:lpstr>ImpervCA3</vt:lpstr>
      <vt:lpstr>ImpervCA9</vt:lpstr>
      <vt:lpstr>ImpervPctSS</vt:lpstr>
      <vt:lpstr>Inclus11</vt:lpstr>
      <vt:lpstr>Inclus11a</vt:lpstr>
      <vt:lpstr>Inclus14</vt:lpstr>
      <vt:lpstr>Inclus4</vt:lpstr>
      <vt:lpstr>Inflo2</vt:lpstr>
      <vt:lpstr>Inflo3</vt:lpstr>
      <vt:lpstr>Inflo4</vt:lpstr>
      <vt:lpstr>InfloPD</vt:lpstr>
      <vt:lpstr>Inflow4a</vt:lpstr>
      <vt:lpstr>InFlowPD</vt:lpstr>
      <vt:lpstr>Inflows</vt:lpstr>
      <vt:lpstr>Intercep4</vt:lpstr>
      <vt:lpstr>IntercepDry3</vt:lpstr>
      <vt:lpstr>IntercepWet3</vt:lpstr>
      <vt:lpstr>Interspers10</vt:lpstr>
      <vt:lpstr>Interspers11</vt:lpstr>
      <vt:lpstr>Interspers12</vt:lpstr>
      <vt:lpstr>Interspers13</vt:lpstr>
      <vt:lpstr>Interspers14</vt:lpstr>
      <vt:lpstr>Interspers2</vt:lpstr>
      <vt:lpstr>Interspers3</vt:lpstr>
      <vt:lpstr>Interspers4</vt:lpstr>
      <vt:lpstr>Interspers6</vt:lpstr>
      <vt:lpstr>Interspers8</vt:lpstr>
      <vt:lpstr>Interspers9</vt:lpstr>
      <vt:lpstr>InterspersPD</vt:lpstr>
      <vt:lpstr>Invas15</vt:lpstr>
      <vt:lpstr>InvasDom1</vt:lpstr>
      <vt:lpstr>Invest</vt:lpstr>
      <vt:lpstr>InvScore2_</vt:lpstr>
      <vt:lpstr>Island13</vt:lpstr>
      <vt:lpstr>IsoDry_S</vt:lpstr>
      <vt:lpstr>IsoDry1</vt:lpstr>
      <vt:lpstr>ISOdry13</vt:lpstr>
      <vt:lpstr>ISOdry7</vt:lpstr>
      <vt:lpstr>ISOwet11</vt:lpstr>
      <vt:lpstr>ISOwet12</vt:lpstr>
      <vt:lpstr>IsoWet2</vt:lpstr>
      <vt:lpstr>IsoWet2a</vt:lpstr>
      <vt:lpstr>IsoWet2s</vt:lpstr>
      <vt:lpstr>ISOwet5</vt:lpstr>
      <vt:lpstr>IsoWet8</vt:lpstr>
      <vt:lpstr>Karst10a</vt:lpstr>
      <vt:lpstr>Karst11</vt:lpstr>
      <vt:lpstr>Karst16</vt:lpstr>
      <vt:lpstr>Karst16a</vt:lpstr>
      <vt:lpstr>karst8</vt:lpstr>
      <vt:lpstr>Karst9</vt:lpstr>
      <vt:lpstr>Karst9a</vt:lpstr>
      <vt:lpstr>Lacus13a</vt:lpstr>
      <vt:lpstr>Lacus7</vt:lpstr>
      <vt:lpstr>Lacust13</vt:lpstr>
      <vt:lpstr>Lake10</vt:lpstr>
      <vt:lpstr>Lake10a</vt:lpstr>
      <vt:lpstr>Lake12</vt:lpstr>
      <vt:lpstr>Lake12a</vt:lpstr>
      <vt:lpstr>Lake3</vt:lpstr>
      <vt:lpstr>Lake3a</vt:lpstr>
      <vt:lpstr>LakeNear13</vt:lpstr>
      <vt:lpstr>LakeProx_S</vt:lpstr>
      <vt:lpstr>LakeProx13</vt:lpstr>
      <vt:lpstr>LakePU</vt:lpstr>
      <vt:lpstr>LiveStore</vt:lpstr>
      <vt:lpstr>LiveStore2</vt:lpstr>
      <vt:lpstr>Lscape</vt:lpstr>
      <vt:lpstr>Lscape11</vt:lpstr>
      <vt:lpstr>Lscape12</vt:lpstr>
      <vt:lpstr>Lscape13</vt:lpstr>
      <vt:lpstr>Lscape14</vt:lpstr>
      <vt:lpstr>Lscape8</vt:lpstr>
      <vt:lpstr>Lscape9</vt:lpstr>
      <vt:lpstr>LscapePD</vt:lpstr>
      <vt:lpstr>Marsh</vt:lpstr>
      <vt:lpstr>MaxFluc2</vt:lpstr>
      <vt:lpstr>MethLimit5</vt:lpstr>
      <vt:lpstr>MitigaSite</vt:lpstr>
      <vt:lpstr>MossCov5</vt:lpstr>
      <vt:lpstr>Mudflat12</vt:lpstr>
      <vt:lpstr>NatCApct3</vt:lpstr>
      <vt:lpstr>NatCov2mi11</vt:lpstr>
      <vt:lpstr>NatVegCA</vt:lpstr>
      <vt:lpstr>NatVegCApd</vt:lpstr>
      <vt:lpstr>NatVegCUpct_S</vt:lpstr>
      <vt:lpstr>NatVegCUpct10</vt:lpstr>
      <vt:lpstr>NatVegCUpct9</vt:lpstr>
      <vt:lpstr>NatVegPct11</vt:lpstr>
      <vt:lpstr>NatVegPctCU8</vt:lpstr>
      <vt:lpstr>NatVegPctScape14</vt:lpstr>
      <vt:lpstr>NatVegProx_S</vt:lpstr>
      <vt:lpstr>NatVegProx11</vt:lpstr>
      <vt:lpstr>NatVegProx14</vt:lpstr>
      <vt:lpstr>NatVegSize_S</vt:lpstr>
      <vt:lpstr>NatVegSize11</vt:lpstr>
      <vt:lpstr>NatVegSize14</vt:lpstr>
      <vt:lpstr>NB</vt:lpstr>
      <vt:lpstr>NestSites</vt:lpstr>
      <vt:lpstr>NewWet</vt:lpstr>
      <vt:lpstr>NewWet_S</vt:lpstr>
      <vt:lpstr>NewWet5</vt:lpstr>
      <vt:lpstr>NewWet6</vt:lpstr>
      <vt:lpstr>NewWetNot6</vt:lpstr>
      <vt:lpstr>Nfix10</vt:lpstr>
      <vt:lpstr>Nfix14</vt:lpstr>
      <vt:lpstr>Nfix4</vt:lpstr>
      <vt:lpstr>Nfix9</vt:lpstr>
      <vt:lpstr>Nfixer6</vt:lpstr>
      <vt:lpstr>Nfixers8</vt:lpstr>
      <vt:lpstr>NfixPD</vt:lpstr>
      <vt:lpstr>NfixS</vt:lpstr>
      <vt:lpstr>NL</vt:lpstr>
      <vt:lpstr>NoCA</vt:lpstr>
      <vt:lpstr>NoHerbCov</vt:lpstr>
      <vt:lpstr>NonHydric6</vt:lpstr>
      <vt:lpstr>NoOpenPonded</vt:lpstr>
      <vt:lpstr>NoOpenPonded1</vt:lpstr>
      <vt:lpstr>NoOut_S</vt:lpstr>
      <vt:lpstr>NoOutlet1</vt:lpstr>
      <vt:lpstr>NoOutlet10</vt:lpstr>
      <vt:lpstr>NoOutlet2</vt:lpstr>
      <vt:lpstr>NoOutlet3</vt:lpstr>
      <vt:lpstr>NoOutlet4</vt:lpstr>
      <vt:lpstr>NoOutlet5</vt:lpstr>
      <vt:lpstr>NoOutlet6</vt:lpstr>
      <vt:lpstr>NoPermW10</vt:lpstr>
      <vt:lpstr>NoPersis</vt:lpstr>
      <vt:lpstr>NoPonded</vt:lpstr>
      <vt:lpstr>NoRobustEm</vt:lpstr>
      <vt:lpstr>NoSeasonal</vt:lpstr>
      <vt:lpstr>NotFen5</vt:lpstr>
      <vt:lpstr>NotNewWet</vt:lpstr>
      <vt:lpstr>NoWater3</vt:lpstr>
      <vt:lpstr>NoWater4a</vt:lpstr>
      <vt:lpstr>NS</vt:lpstr>
      <vt:lpstr>NsampDown</vt:lpstr>
      <vt:lpstr>NsampUp</vt:lpstr>
      <vt:lpstr>Nsource4</vt:lpstr>
      <vt:lpstr>NutrAvail6</vt:lpstr>
      <vt:lpstr>OpenPonded7</vt:lpstr>
      <vt:lpstr>OpenW</vt:lpstr>
      <vt:lpstr>Organic4</vt:lpstr>
      <vt:lpstr>OutDur2</vt:lpstr>
      <vt:lpstr>OutDur2_</vt:lpstr>
      <vt:lpstr>OutDur7</vt:lpstr>
      <vt:lpstr>OutDura_S</vt:lpstr>
      <vt:lpstr>OutDura1</vt:lpstr>
      <vt:lpstr>OutDura10</vt:lpstr>
      <vt:lpstr>OutDura3</vt:lpstr>
      <vt:lpstr>OutDura4</vt:lpstr>
      <vt:lpstr>OutDura5</vt:lpstr>
      <vt:lpstr>OutDura6</vt:lpstr>
      <vt:lpstr>OutDura9</vt:lpstr>
      <vt:lpstr>OutNone</vt:lpstr>
      <vt:lpstr>OutNone1</vt:lpstr>
      <vt:lpstr>OverRich</vt:lpstr>
      <vt:lpstr>Ownership</vt:lpstr>
      <vt:lpstr>OwnerSS</vt:lpstr>
      <vt:lpstr>PEI</vt:lpstr>
      <vt:lpstr>PermWpct10</vt:lpstr>
      <vt:lpstr>PermWpct11</vt:lpstr>
      <vt:lpstr>PermWpct12</vt:lpstr>
      <vt:lpstr>PermWpct13</vt:lpstr>
      <vt:lpstr>PermWpct14</vt:lpstr>
      <vt:lpstr>PermWpct4</vt:lpstr>
      <vt:lpstr>PermWpct5</vt:lpstr>
      <vt:lpstr>PermWpct8</vt:lpstr>
      <vt:lpstr>PermWpct9</vt:lpstr>
      <vt:lpstr>Persis3</vt:lpstr>
      <vt:lpstr>persist0</vt:lpstr>
      <vt:lpstr>PhysAccum5</vt:lpstr>
      <vt:lpstr>PlantCov6</vt:lpstr>
      <vt:lpstr>Pload3</vt:lpstr>
      <vt:lpstr>PollenOn</vt:lpstr>
      <vt:lpstr>PondedPct6</vt:lpstr>
      <vt:lpstr>Ponding2</vt:lpstr>
      <vt:lpstr>PondNum11v</vt:lpstr>
      <vt:lpstr>PondNum12v</vt:lpstr>
      <vt:lpstr>PondNum13v</vt:lpstr>
      <vt:lpstr>PondPct4</vt:lpstr>
      <vt:lpstr>PondProx_S</vt:lpstr>
      <vt:lpstr>PondProx11</vt:lpstr>
      <vt:lpstr>PondProx12</vt:lpstr>
      <vt:lpstr>PondProx13</vt:lpstr>
      <vt:lpstr>PondProx14</vt:lpstr>
      <vt:lpstr>PondProx15</vt:lpstr>
      <vt:lpstr>PopCtr12</vt:lpstr>
      <vt:lpstr>PopCtr14</vt:lpstr>
      <vt:lpstr>PopCtr15</vt:lpstr>
      <vt:lpstr>PopCtr9</vt:lpstr>
      <vt:lpstr>PopCtrDisPU</vt:lpstr>
      <vt:lpstr>PopCtrDist</vt:lpstr>
      <vt:lpstr>PopDist10</vt:lpstr>
      <vt:lpstr>PopDist4</vt:lpstr>
      <vt:lpstr>F!Print_Area</vt:lpstr>
      <vt:lpstr>OF!Print_Area</vt:lpstr>
      <vt:lpstr>S!Print_Area</vt:lpstr>
      <vt:lpstr>Scores!Print_Area</vt:lpstr>
      <vt:lpstr>Produc</vt:lpstr>
      <vt:lpstr>Produc10</vt:lpstr>
      <vt:lpstr>Produc11</vt:lpstr>
      <vt:lpstr>Produc12</vt:lpstr>
      <vt:lpstr>Produc13</vt:lpstr>
      <vt:lpstr>Produc14</vt:lpstr>
      <vt:lpstr>Produc9</vt:lpstr>
      <vt:lpstr>Productiv</vt:lpstr>
      <vt:lpstr>Productiv6</vt:lpstr>
      <vt:lpstr>PsampDown3</vt:lpstr>
      <vt:lpstr>PsampUp3</vt:lpstr>
      <vt:lpstr>Rare12</vt:lpstr>
      <vt:lpstr>Rare13</vt:lpstr>
      <vt:lpstr>Rare14</vt:lpstr>
      <vt:lpstr>RareAll</vt:lpstr>
      <vt:lpstr>rareherb</vt:lpstr>
      <vt:lpstr>RareHerp</vt:lpstr>
      <vt:lpstr>RarePsp20</vt:lpstr>
      <vt:lpstr>RareSpp_S</vt:lpstr>
      <vt:lpstr>RareSpPD</vt:lpstr>
      <vt:lpstr>RareWclassPD</vt:lpstr>
      <vt:lpstr>RdBox</vt:lpstr>
      <vt:lpstr>RdBox14</vt:lpstr>
      <vt:lpstr>RdDis11</vt:lpstr>
      <vt:lpstr>RdDis13</vt:lpstr>
      <vt:lpstr>RdDist4</vt:lpstr>
      <vt:lpstr>RecPot</vt:lpstr>
      <vt:lpstr>RecreaPoten</vt:lpstr>
      <vt:lpstr>RecUse</vt:lpstr>
      <vt:lpstr>Redox4</vt:lpstr>
      <vt:lpstr>ResFish</vt:lpstr>
      <vt:lpstr>ResFishScore2_</vt:lpstr>
      <vt:lpstr>RoadCirc11</vt:lpstr>
      <vt:lpstr>Salt20</vt:lpstr>
      <vt:lpstr>SatPct_S</vt:lpstr>
      <vt:lpstr>SatPct10</vt:lpstr>
      <vt:lpstr>SatPct11</vt:lpstr>
      <vt:lpstr>SatPct12</vt:lpstr>
      <vt:lpstr>SatPct13</vt:lpstr>
      <vt:lpstr>SatPct14</vt:lpstr>
      <vt:lpstr>SatPct2v</vt:lpstr>
      <vt:lpstr>SatPct3</vt:lpstr>
      <vt:lpstr>SatPct4</vt:lpstr>
      <vt:lpstr>SatPct7</vt:lpstr>
      <vt:lpstr>SatPct8</vt:lpstr>
      <vt:lpstr>SatPct9</vt:lpstr>
      <vt:lpstr>SatPctPD</vt:lpstr>
      <vt:lpstr>Satur10</vt:lpstr>
      <vt:lpstr>SBMscore10</vt:lpstr>
      <vt:lpstr>ScapeLU11</vt:lpstr>
      <vt:lpstr>ScapeLU14</vt:lpstr>
      <vt:lpstr>SciUse</vt:lpstr>
      <vt:lpstr>ScorePLDf</vt:lpstr>
      <vt:lpstr>ScorePOLf</vt:lpstr>
      <vt:lpstr>ScoreSBM</vt:lpstr>
      <vt:lpstr>SeasPct1</vt:lpstr>
      <vt:lpstr>SeasPct2</vt:lpstr>
      <vt:lpstr>SeasPct8</vt:lpstr>
      <vt:lpstr>SeasWpct12</vt:lpstr>
      <vt:lpstr>SeasWpct13</vt:lpstr>
      <vt:lpstr>SeasWpct4</vt:lpstr>
      <vt:lpstr>SeasWpct5</vt:lpstr>
      <vt:lpstr>SeasWpct6</vt:lpstr>
      <vt:lpstr>SeasWpct9</vt:lpstr>
      <vt:lpstr>SeasWpctPD</vt:lpstr>
      <vt:lpstr>SedCA8</vt:lpstr>
      <vt:lpstr>SedCA8a</vt:lpstr>
      <vt:lpstr>SedDep20</vt:lpstr>
      <vt:lpstr>SedDisturb20</vt:lpstr>
      <vt:lpstr>SedExcess10</vt:lpstr>
      <vt:lpstr>Sedge5</vt:lpstr>
      <vt:lpstr>SedIn9</vt:lpstr>
      <vt:lpstr>SedLoad</vt:lpstr>
      <vt:lpstr>Shade7</vt:lpstr>
      <vt:lpstr>Shade9</vt:lpstr>
      <vt:lpstr>ShadeIn7</vt:lpstr>
      <vt:lpstr>ShedPos</vt:lpstr>
      <vt:lpstr>ShedPos1</vt:lpstr>
      <vt:lpstr>ShedPos2</vt:lpstr>
      <vt:lpstr>ShedPos7</vt:lpstr>
      <vt:lpstr>ShoreSlope13</vt:lpstr>
      <vt:lpstr>ShrubDiv0</vt:lpstr>
      <vt:lpstr>ShrubDiv14</vt:lpstr>
      <vt:lpstr>ShrubPattS</vt:lpstr>
      <vt:lpstr>ShrubSun11</vt:lpstr>
      <vt:lpstr>SizeHerbac13</vt:lpstr>
      <vt:lpstr>SizeHerbac14</vt:lpstr>
      <vt:lpstr>SizePD</vt:lpstr>
      <vt:lpstr>SizeVegConnec15</vt:lpstr>
      <vt:lpstr>SnagB13</vt:lpstr>
      <vt:lpstr>SnagD14</vt:lpstr>
      <vt:lpstr>Snags0</vt:lpstr>
      <vt:lpstr>Soil2_</vt:lpstr>
      <vt:lpstr>SoilDisturb</vt:lpstr>
      <vt:lpstr>SoilDisturb15</vt:lpstr>
      <vt:lpstr>SoilDisturb3</vt:lpstr>
      <vt:lpstr>SoilDisturb4</vt:lpstr>
      <vt:lpstr>SoilDisturb5</vt:lpstr>
      <vt:lpstr>SoilDisturb8</vt:lpstr>
      <vt:lpstr>SoilDisturb8a</vt:lpstr>
      <vt:lpstr>SoilTex_S</vt:lpstr>
      <vt:lpstr>SoilTex1</vt:lpstr>
      <vt:lpstr>SoilTex3</vt:lpstr>
      <vt:lpstr>SoilTex4</vt:lpstr>
      <vt:lpstr>SoilTex5</vt:lpstr>
      <vt:lpstr>SoilTex6</vt:lpstr>
      <vt:lpstr>SoilTexPD</vt:lpstr>
      <vt:lpstr>SongbMam</vt:lpstr>
      <vt:lpstr>SppArea</vt:lpstr>
      <vt:lpstr>SStorage2</vt:lpstr>
      <vt:lpstr>Stain3</vt:lpstr>
      <vt:lpstr>Steep1</vt:lpstr>
      <vt:lpstr>Steep13</vt:lpstr>
      <vt:lpstr>Steep1ws</vt:lpstr>
      <vt:lpstr>Steep2ws</vt:lpstr>
      <vt:lpstr>Stress0</vt:lpstr>
      <vt:lpstr>Stress10</vt:lpstr>
      <vt:lpstr>Stress11</vt:lpstr>
      <vt:lpstr>Stress12</vt:lpstr>
      <vt:lpstr>Stress14</vt:lpstr>
      <vt:lpstr>Stress9</vt:lpstr>
      <vt:lpstr>Stressors13</vt:lpstr>
      <vt:lpstr>Stressors8</vt:lpstr>
      <vt:lpstr>StressPD</vt:lpstr>
      <vt:lpstr>Struc10</vt:lpstr>
      <vt:lpstr>Struc11</vt:lpstr>
      <vt:lpstr>Struc12</vt:lpstr>
      <vt:lpstr>Struc13</vt:lpstr>
      <vt:lpstr>Struc9</vt:lpstr>
      <vt:lpstr>StrucA</vt:lpstr>
      <vt:lpstr>StrucB</vt:lpstr>
      <vt:lpstr>Structure8</vt:lpstr>
      <vt:lpstr>Subsurf</vt:lpstr>
      <vt:lpstr>Subtypes8</vt:lpstr>
      <vt:lpstr>SWOpd</vt:lpstr>
      <vt:lpstr>TerrFertilPD</vt:lpstr>
      <vt:lpstr>TerrStruc11</vt:lpstr>
      <vt:lpstr>ThruFlo1</vt:lpstr>
      <vt:lpstr>ThruFlo10</vt:lpstr>
      <vt:lpstr>ThruFlo2</vt:lpstr>
      <vt:lpstr>ThruFlo3</vt:lpstr>
      <vt:lpstr>ThruFlo4</vt:lpstr>
      <vt:lpstr>ThruFlo6</vt:lpstr>
      <vt:lpstr>ThruFlo8</vt:lpstr>
      <vt:lpstr>ThruFlo9</vt:lpstr>
      <vt:lpstr>TidalPD</vt:lpstr>
      <vt:lpstr>TidalProx12</vt:lpstr>
      <vt:lpstr>TidalProx8</vt:lpstr>
      <vt:lpstr>TidalProx9</vt:lpstr>
      <vt:lpstr>TidalProxPU</vt:lpstr>
      <vt:lpstr>TooSmall</vt:lpstr>
      <vt:lpstr>TooSteep</vt:lpstr>
      <vt:lpstr>TooSteep12</vt:lpstr>
      <vt:lpstr>TooSteep13</vt:lpstr>
      <vt:lpstr>ToxData10</vt:lpstr>
      <vt:lpstr>ToxData2</vt:lpstr>
      <vt:lpstr>ToxData9</vt:lpstr>
      <vt:lpstr>Toxic</vt:lpstr>
      <vt:lpstr>Toxic0</vt:lpstr>
      <vt:lpstr>Toxic11</vt:lpstr>
      <vt:lpstr>ToxicData</vt:lpstr>
      <vt:lpstr>ToxicIn11</vt:lpstr>
      <vt:lpstr>ToxicIn9</vt:lpstr>
      <vt:lpstr>toxics13</vt:lpstr>
      <vt:lpstr>ToxOnsite</vt:lpstr>
      <vt:lpstr>ToxUp2</vt:lpstr>
      <vt:lpstr>Transport1</vt:lpstr>
      <vt:lpstr>Transport3</vt:lpstr>
      <vt:lpstr>Transport4</vt:lpstr>
      <vt:lpstr>TransportSS</vt:lpstr>
      <vt:lpstr>TreeCanop4</vt:lpstr>
      <vt:lpstr>TreeCovS</vt:lpstr>
      <vt:lpstr>TreeDBHs</vt:lpstr>
      <vt:lpstr>TreeForm13</vt:lpstr>
      <vt:lpstr>TreeForm5</vt:lpstr>
      <vt:lpstr>Trees13</vt:lpstr>
      <vt:lpstr>TreeTyp13</vt:lpstr>
      <vt:lpstr>TreeTypes14</vt:lpstr>
      <vt:lpstr>TreeVar11</vt:lpstr>
      <vt:lpstr>Unif14</vt:lpstr>
      <vt:lpstr>UpEdge_S</vt:lpstr>
      <vt:lpstr>UpEdge14</vt:lpstr>
      <vt:lpstr>UpEdgeShape4</vt:lpstr>
      <vt:lpstr>VegPct5k15</vt:lpstr>
      <vt:lpstr>VegPctScape_S</vt:lpstr>
      <vt:lpstr>VegWabs3</vt:lpstr>
      <vt:lpstr>Visib12</vt:lpstr>
      <vt:lpstr>Visibility</vt:lpstr>
      <vt:lpstr>VisibWet</vt:lpstr>
      <vt:lpstr>VscoreSRM</vt:lpstr>
      <vt:lpstr>VscoreWBF</vt:lpstr>
      <vt:lpstr>VscoreWBN</vt:lpstr>
      <vt:lpstr>Vwidth11</vt:lpstr>
      <vt:lpstr>Vwidth14</vt:lpstr>
      <vt:lpstr>VwidthAbs_S</vt:lpstr>
      <vt:lpstr>VwidthAbs13</vt:lpstr>
      <vt:lpstr>VwidthAbs4</vt:lpstr>
      <vt:lpstr>VwidthAbs5</vt:lpstr>
      <vt:lpstr>VwidthAbs6</vt:lpstr>
      <vt:lpstr>WarmInflo7</vt:lpstr>
      <vt:lpstr>Warmth1</vt:lpstr>
      <vt:lpstr>warmth10</vt:lpstr>
      <vt:lpstr>warmth12</vt:lpstr>
      <vt:lpstr>Warmth2</vt:lpstr>
      <vt:lpstr>Warmth3</vt:lpstr>
      <vt:lpstr>Warmth4</vt:lpstr>
      <vt:lpstr>Warmth5</vt:lpstr>
      <vt:lpstr>Warmth6</vt:lpstr>
      <vt:lpstr>Warmth7</vt:lpstr>
      <vt:lpstr>warmth8</vt:lpstr>
      <vt:lpstr>WatEdgeSlope2</vt:lpstr>
      <vt:lpstr>Water10</vt:lpstr>
      <vt:lpstr>Water11</vt:lpstr>
      <vt:lpstr>Water12</vt:lpstr>
      <vt:lpstr>Water13</vt:lpstr>
      <vt:lpstr>Water14</vt:lpstr>
      <vt:lpstr>Water15</vt:lpstr>
      <vt:lpstr>Water3</vt:lpstr>
      <vt:lpstr>Water4</vt:lpstr>
      <vt:lpstr>Water7</vt:lpstr>
      <vt:lpstr>Water8</vt:lpstr>
      <vt:lpstr>Water9</vt:lpstr>
      <vt:lpstr>Waterscape11</vt:lpstr>
      <vt:lpstr>WBFscore10</vt:lpstr>
      <vt:lpstr>WBFscores</vt:lpstr>
      <vt:lpstr>WbirdF</vt:lpstr>
      <vt:lpstr>WbirdFeed</vt:lpstr>
      <vt:lpstr>WbirdFeed10</vt:lpstr>
      <vt:lpstr>WbirdNest</vt:lpstr>
      <vt:lpstr>WBNsiteS</vt:lpstr>
      <vt:lpstr>WeedSource</vt:lpstr>
      <vt:lpstr>WeedSourcePD</vt:lpstr>
      <vt:lpstr>WetIntercept</vt:lpstr>
      <vt:lpstr>WetPctCA2</vt:lpstr>
      <vt:lpstr>WetPctCA4</vt:lpstr>
      <vt:lpstr>WetSize_S</vt:lpstr>
      <vt:lpstr>Wettype10</vt:lpstr>
      <vt:lpstr>Wettype11</vt:lpstr>
      <vt:lpstr>Wettype12</vt:lpstr>
      <vt:lpstr>Wettype13</vt:lpstr>
      <vt:lpstr>Wettype2</vt:lpstr>
      <vt:lpstr>Wettype4</vt:lpstr>
      <vt:lpstr>Wettype5</vt:lpstr>
      <vt:lpstr>Wettype6</vt:lpstr>
      <vt:lpstr>Wettype8</vt:lpstr>
      <vt:lpstr>Wettype9</vt:lpstr>
      <vt:lpstr>WetTypeDiv11</vt:lpstr>
      <vt:lpstr>WetTypeDiv12</vt:lpstr>
      <vt:lpstr>WetTypeDiv14</vt:lpstr>
      <vt:lpstr>WettypeS</vt:lpstr>
      <vt:lpstr>WidthAbs2</vt:lpstr>
      <vt:lpstr>WidthPD</vt:lpstr>
      <vt:lpstr>WoodAbove10</vt:lpstr>
      <vt:lpstr>WoodAbove11</vt:lpstr>
      <vt:lpstr>WoodAbove9</vt:lpstr>
      <vt:lpstr>WoodDown11</vt:lpstr>
      <vt:lpstr>WoodDown14</vt:lpstr>
      <vt:lpstr>WoodDown8</vt:lpstr>
      <vt:lpstr>WoodHerbMix11</vt:lpstr>
      <vt:lpstr>WoodHerbMix15</vt:lpstr>
      <vt:lpstr>WoodHerbMix8</vt:lpstr>
      <vt:lpstr>WoodPatt14</vt:lpstr>
      <vt:lpstr>WoodSpDom15</vt:lpstr>
      <vt:lpstr>Woody14</vt:lpstr>
      <vt:lpstr>woodydbh0</vt:lpstr>
      <vt:lpstr>WoodyHtDiv14</vt:lpstr>
      <vt:lpstr>WoodyHtDiv15</vt:lpstr>
      <vt:lpstr>WoodyHtForm0</vt:lpstr>
      <vt:lpstr>WoodySens2_S</vt:lpstr>
      <vt:lpstr>WoodyTyp4</vt:lpstr>
      <vt:lpstr>WoodyUniq</vt:lpstr>
      <vt:lpstr>WoodyUniq0</vt:lpstr>
      <vt:lpstr>WoodyUniq14</vt:lpstr>
      <vt:lpstr>WoodyUniq20</vt:lpstr>
      <vt:lpstr>WQstress</vt:lpstr>
      <vt:lpstr>Wscape</vt:lpstr>
      <vt:lpstr>Wscape14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Adamus</dc:creator>
  <cp:lastModifiedBy>paul adamus</cp:lastModifiedBy>
  <cp:lastPrinted>2018-08-09T00:19:14Z</cp:lastPrinted>
  <dcterms:created xsi:type="dcterms:W3CDTF">2007-07-23T17:47:56Z</dcterms:created>
  <dcterms:modified xsi:type="dcterms:W3CDTF">2023-10-19T23:30:01Z</dcterms:modified>
</cp:coreProperties>
</file>